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.connell\Desktop\"/>
    </mc:Choice>
  </mc:AlternateContent>
  <xr:revisionPtr revIDLastSave="0" documentId="8_{45A035A2-56F1-47CB-943A-946DD22D2E1A}" xr6:coauthVersionLast="45" xr6:coauthVersionMax="45" xr10:uidLastSave="{00000000-0000-0000-0000-000000000000}"/>
  <bookViews>
    <workbookView xWindow="345" yWindow="1320" windowWidth="21600" windowHeight="11265" activeTab="3" xr2:uid="{0217C654-B9EA-4E39-9873-3DD4BB5FAFA9}"/>
  </bookViews>
  <sheets>
    <sheet name="Q1" sheetId="1" r:id="rId1"/>
    <sheet name="Q2" sheetId="2" r:id="rId2"/>
    <sheet name="Q3" sheetId="3" r:id="rId3"/>
    <sheet name="Q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4" l="1"/>
  <c r="D40" i="4"/>
  <c r="D41" i="4" s="1"/>
  <c r="D43" i="4" s="1"/>
  <c r="D34" i="4" s="1"/>
  <c r="D29" i="4"/>
  <c r="E30" i="4" s="1"/>
  <c r="E27" i="4"/>
  <c r="B16" i="4"/>
  <c r="C11" i="4"/>
  <c r="C4" i="4"/>
  <c r="C5" i="4" s="1"/>
  <c r="E70" i="3"/>
  <c r="D69" i="3"/>
  <c r="C81" i="3"/>
  <c r="C80" i="3"/>
  <c r="C78" i="3"/>
  <c r="C77" i="3"/>
  <c r="C76" i="3"/>
  <c r="E65" i="3"/>
  <c r="D64" i="3"/>
  <c r="D63" i="3"/>
  <c r="E59" i="3"/>
  <c r="D58" i="3"/>
  <c r="C38" i="3"/>
  <c r="C36" i="3"/>
  <c r="C35" i="3"/>
  <c r="C34" i="3"/>
  <c r="B63" i="3"/>
  <c r="B69" i="3" s="1"/>
  <c r="E53" i="3"/>
  <c r="D52" i="3"/>
  <c r="B52" i="3"/>
  <c r="D47" i="3"/>
  <c r="B47" i="3"/>
  <c r="E43" i="3"/>
  <c r="D42" i="3"/>
  <c r="B42" i="3"/>
  <c r="F31" i="3"/>
  <c r="C31" i="3"/>
  <c r="F30" i="3"/>
  <c r="G30" i="3"/>
  <c r="H30" i="3" s="1"/>
  <c r="E30" i="3"/>
  <c r="H29" i="3"/>
  <c r="G29" i="3"/>
  <c r="C29" i="3"/>
  <c r="F25" i="3"/>
  <c r="F24" i="3"/>
  <c r="F23" i="3"/>
  <c r="F22" i="3"/>
  <c r="E31" i="3"/>
  <c r="G31" i="3" s="1"/>
  <c r="E29" i="3"/>
  <c r="G6" i="3"/>
  <c r="E6" i="3"/>
  <c r="C6" i="3"/>
  <c r="D6" i="3" s="1"/>
  <c r="E37" i="2"/>
  <c r="E35" i="2"/>
  <c r="E33" i="2"/>
  <c r="E31" i="2"/>
  <c r="E30" i="2"/>
  <c r="D33" i="2"/>
  <c r="D31" i="2"/>
  <c r="D30" i="2"/>
  <c r="G22" i="2"/>
  <c r="G23" i="2"/>
  <c r="G24" i="2"/>
  <c r="G25" i="2"/>
  <c r="G26" i="2"/>
  <c r="G21" i="2"/>
  <c r="F26" i="2"/>
  <c r="D26" i="2"/>
  <c r="F22" i="2"/>
  <c r="F23" i="2"/>
  <c r="F21" i="2"/>
  <c r="D25" i="2"/>
  <c r="G16" i="2"/>
  <c r="G14" i="2"/>
  <c r="D5" i="2"/>
  <c r="D4" i="2"/>
  <c r="G9" i="2"/>
  <c r="G8" i="2"/>
  <c r="D36" i="4" l="1"/>
  <c r="E37" i="4" s="1"/>
  <c r="E35" i="4"/>
  <c r="C30" i="3"/>
  <c r="D3" i="3"/>
  <c r="D4" i="3"/>
  <c r="D5" i="3"/>
  <c r="H68" i="1"/>
  <c r="H70" i="1" s="1"/>
  <c r="F70" i="1"/>
  <c r="E70" i="1"/>
  <c r="D70" i="1"/>
  <c r="C70" i="1"/>
  <c r="G67" i="1"/>
  <c r="D66" i="1"/>
  <c r="H66" i="1" s="1"/>
  <c r="C65" i="1"/>
  <c r="H65" i="1" s="1"/>
  <c r="F59" i="1"/>
  <c r="F60" i="1" s="1"/>
  <c r="F61" i="1" s="1"/>
  <c r="E58" i="1"/>
  <c r="H58" i="1" s="1"/>
  <c r="G68" i="1"/>
  <c r="F68" i="1"/>
  <c r="E68" i="1"/>
  <c r="H67" i="1"/>
  <c r="H59" i="1"/>
  <c r="H56" i="1"/>
  <c r="G61" i="1"/>
  <c r="D61" i="1"/>
  <c r="C61" i="1"/>
  <c r="G60" i="1"/>
  <c r="D60" i="1"/>
  <c r="C60" i="1"/>
  <c r="H54" i="1"/>
  <c r="E40" i="1"/>
  <c r="E35" i="1"/>
  <c r="D29" i="1"/>
  <c r="E30" i="1" s="1"/>
  <c r="E25" i="1"/>
  <c r="D24" i="1"/>
  <c r="D19" i="1"/>
  <c r="E20" i="1" s="1"/>
  <c r="E15" i="1"/>
  <c r="D15" i="1"/>
  <c r="D14" i="1"/>
  <c r="E10" i="1"/>
  <c r="D9" i="1"/>
  <c r="E4" i="1"/>
  <c r="G70" i="1" l="1"/>
  <c r="D68" i="1"/>
  <c r="C68" i="1"/>
  <c r="H60" i="1"/>
  <c r="E60" i="1"/>
  <c r="E61" i="1" s="1"/>
  <c r="H61" i="1"/>
  <c r="E5" i="3" l="1"/>
  <c r="F5" i="3" s="1"/>
  <c r="H5" i="3" s="1"/>
  <c r="E3" i="3"/>
  <c r="F3" i="3" s="1"/>
  <c r="H3" i="3" s="1"/>
  <c r="H6" i="3" s="1"/>
  <c r="E4" i="3"/>
  <c r="F4" i="3" s="1"/>
  <c r="H4" i="3" s="1"/>
</calcChain>
</file>

<file path=xl/sharedStrings.xml><?xml version="1.0" encoding="utf-8"?>
<sst xmlns="http://schemas.openxmlformats.org/spreadsheetml/2006/main" count="298" uniqueCount="177">
  <si>
    <t>Date</t>
  </si>
  <si>
    <t>Description</t>
  </si>
  <si>
    <t>Dr $</t>
  </si>
  <si>
    <t>Cr $</t>
  </si>
  <si>
    <t>To recognise the issue of equity</t>
  </si>
  <si>
    <t>1/08/20x7</t>
  </si>
  <si>
    <t>Cash</t>
  </si>
  <si>
    <t>Ordinary Share Capital (equity)</t>
  </si>
  <si>
    <t>01/05/20x8</t>
  </si>
  <si>
    <t>Dividend Paid</t>
  </si>
  <si>
    <t>To recognise dividend payable / declared ($2.25m * 10c)</t>
  </si>
  <si>
    <t>YE</t>
  </si>
  <si>
    <t>Liability</t>
  </si>
  <si>
    <t>Expense</t>
  </si>
  <si>
    <t>Opening Balance</t>
  </si>
  <si>
    <t>FY17</t>
  </si>
  <si>
    <t>FY18</t>
  </si>
  <si>
    <t>Balance</t>
  </si>
  <si>
    <t>30/06.x8</t>
  </si>
  <si>
    <t>Employee benefits expense</t>
  </si>
  <si>
    <t>Share based payment reserve (equity)</t>
  </si>
  <si>
    <t>To record remuneration expense realting to issue of 5000 shares</t>
  </si>
  <si>
    <t>01/03/x8</t>
  </si>
  <si>
    <t>Investment - FVTOCI</t>
  </si>
  <si>
    <t>Initial recognition of investment FVTOCI</t>
  </si>
  <si>
    <t>Initial fair value adjustment of investment</t>
  </si>
  <si>
    <t>Investment - FVTOCI (Entertainment LTd)</t>
  </si>
  <si>
    <t>FVTOCI - Reserve</t>
  </si>
  <si>
    <t>Initial recognition of acquisition of land in Broadbeach</t>
  </si>
  <si>
    <t>01/09/x7</t>
  </si>
  <si>
    <t>Land - Broadbeach</t>
  </si>
  <si>
    <t>Revaluation surplus (OCI)</t>
  </si>
  <si>
    <t>Revaluation surplus (prev. increment)</t>
  </si>
  <si>
    <t xml:space="preserve">Revaluation expense </t>
  </si>
  <si>
    <t>Land - Adelaide</t>
  </si>
  <si>
    <t>Reversing prior increment, posting decrement.</t>
  </si>
  <si>
    <t>Escape Limited</t>
  </si>
  <si>
    <t>Statement of change in equity for the year ended 30 June 20x8</t>
  </si>
  <si>
    <t>Issued capital</t>
  </si>
  <si>
    <t>Share based payment reserver</t>
  </si>
  <si>
    <t>Revaluation surplus</t>
  </si>
  <si>
    <t>FVTOCI reserve</t>
  </si>
  <si>
    <t>Retained</t>
  </si>
  <si>
    <t>Total</t>
  </si>
  <si>
    <t>$</t>
  </si>
  <si>
    <t>O/b balance 1 July 20x7</t>
  </si>
  <si>
    <t>Attributable to owners of the parent</t>
  </si>
  <si>
    <t>Profit for the year</t>
  </si>
  <si>
    <t>OCI</t>
  </si>
  <si>
    <t>Total comprhensive income:</t>
  </si>
  <si>
    <t>Revaluation of PP&amp;E</t>
  </si>
  <si>
    <t>Fair Value Of FVTOCI investments</t>
  </si>
  <si>
    <t>Total OCI</t>
  </si>
  <si>
    <t>Total comprehesnive income</t>
  </si>
  <si>
    <t>Transactions with owners recorded directly in equityu</t>
  </si>
  <si>
    <t>Contributions by and distributions to owners</t>
  </si>
  <si>
    <t>Proceeds on share issue</t>
  </si>
  <si>
    <t>Cost of share-based payments</t>
  </si>
  <si>
    <t>Dividends paid</t>
  </si>
  <si>
    <t>Total transactions with owners</t>
  </si>
  <si>
    <t>Closing balance at 30 June 20x8</t>
  </si>
  <si>
    <t>FX forward</t>
  </si>
  <si>
    <t>Cash flow hedge reserev (effective portion)</t>
  </si>
  <si>
    <t>CFHR</t>
  </si>
  <si>
    <t>CH YOY</t>
  </si>
  <si>
    <t>Loss on hedging instrument (ineffective)</t>
  </si>
  <si>
    <t>Initial instalment</t>
  </si>
  <si>
    <t>SRC currency</t>
  </si>
  <si>
    <t>Spot Rate</t>
  </si>
  <si>
    <t>Recorded amount</t>
  </si>
  <si>
    <t>Remaining instalment</t>
  </si>
  <si>
    <t>Amount</t>
  </si>
  <si>
    <t>Borrowing cost</t>
  </si>
  <si>
    <t>Total AUD</t>
  </si>
  <si>
    <t>Calculation / Notes</t>
  </si>
  <si>
    <t>31.03.16</t>
  </si>
  <si>
    <t>31.08.17</t>
  </si>
  <si>
    <t>31.10x7</t>
  </si>
  <si>
    <t>Initial purchase</t>
  </si>
  <si>
    <t>Delivery charges</t>
  </si>
  <si>
    <t xml:space="preserve">Contractor on site </t>
  </si>
  <si>
    <t>Final safety inspection</t>
  </si>
  <si>
    <t>Dismantling costs</t>
  </si>
  <si>
    <t># months</t>
  </si>
  <si>
    <t>28.02.16</t>
  </si>
  <si>
    <t>Cost of the Oscillator</t>
  </si>
  <si>
    <t>Depreciation exp</t>
  </si>
  <si>
    <t>Value to be recognised at 31 Dec 2017</t>
  </si>
  <si>
    <t>Accounting</t>
  </si>
  <si>
    <t>Tax</t>
  </si>
  <si>
    <t>Difference</t>
  </si>
  <si>
    <t>DTL balance</t>
  </si>
  <si>
    <t>Performance Obligation</t>
  </si>
  <si>
    <t>Standalone price</t>
  </si>
  <si>
    <t>Transaction price allocated</t>
  </si>
  <si>
    <t>Acacia</t>
  </si>
  <si>
    <t>Jacaranda flat pack</t>
  </si>
  <si>
    <t>Jacaranda delviery</t>
  </si>
  <si>
    <t>%</t>
  </si>
  <si>
    <t>Total units contracted</t>
  </si>
  <si>
    <t>Price per unit</t>
  </si>
  <si>
    <t>Jacaranda</t>
  </si>
  <si>
    <t>Total contracted revenue</t>
  </si>
  <si>
    <t>per unit</t>
  </si>
  <si>
    <t>Month rev</t>
  </si>
  <si>
    <t>Sep#</t>
  </si>
  <si>
    <t>Opening liability</t>
  </si>
  <si>
    <t>Lease payment</t>
  </si>
  <si>
    <t>Yr</t>
  </si>
  <si>
    <t>01.10.20x7</t>
  </si>
  <si>
    <t>01.10.20x8</t>
  </si>
  <si>
    <t>01.10.20x9</t>
  </si>
  <si>
    <t>Payment</t>
  </si>
  <si>
    <t>PV Factor</t>
  </si>
  <si>
    <t>PV Cash Flow</t>
  </si>
  <si>
    <t>PVMLP</t>
  </si>
  <si>
    <t>Liability Reduction</t>
  </si>
  <si>
    <t>Int. exp</t>
  </si>
  <si>
    <t>Closing Liability</t>
  </si>
  <si>
    <t>no int. Y0</t>
  </si>
  <si>
    <t>ROU Asset</t>
  </si>
  <si>
    <t>Financial Lease Liability</t>
  </si>
  <si>
    <t xml:space="preserve">To recognise the right of use asset and laibilioty </t>
  </si>
  <si>
    <t>To recognise the capitalised legal fees for set up of lease</t>
  </si>
  <si>
    <t>Lease Liability</t>
  </si>
  <si>
    <t>Year0</t>
  </si>
  <si>
    <t>Year1</t>
  </si>
  <si>
    <t>To recognise the lease payment in Y0</t>
  </si>
  <si>
    <t>30/09/20x8</t>
  </si>
  <si>
    <t>Accum. Dep - ROUA</t>
  </si>
  <si>
    <t>Value of Right Of Use Asset</t>
  </si>
  <si>
    <t>Right of use asset</t>
  </si>
  <si>
    <t>Legal -capitalised</t>
  </si>
  <si>
    <t>Effective life</t>
  </si>
  <si>
    <t>Dep. Exp</t>
  </si>
  <si>
    <t>Lease liability</t>
  </si>
  <si>
    <t>Interest expense</t>
  </si>
  <si>
    <t>ITE</t>
  </si>
  <si>
    <t>DTL</t>
  </si>
  <si>
    <t>Deferred Tax Calculation</t>
  </si>
  <si>
    <t>Net book value</t>
  </si>
  <si>
    <t>Less: Lease liability</t>
  </si>
  <si>
    <t>Net position</t>
  </si>
  <si>
    <t>Tax base (lease not recognised for tax purposes)</t>
  </si>
  <si>
    <t>Temp Tax Diff</t>
  </si>
  <si>
    <t>Shares</t>
  </si>
  <si>
    <t>Acq %</t>
  </si>
  <si>
    <t>Acq Shares #</t>
  </si>
  <si>
    <t>Price of shares</t>
  </si>
  <si>
    <t>Timing of recognition of NCI</t>
  </si>
  <si>
    <t>FVINA</t>
  </si>
  <si>
    <t>NCI</t>
  </si>
  <si>
    <t>NCI in partial goodwill</t>
  </si>
  <si>
    <t>Added not subtracted contingent liability</t>
  </si>
  <si>
    <t>Contingent liability should be $500k net of tax</t>
  </si>
  <si>
    <t>Fair value adjustment of inventory</t>
  </si>
  <si>
    <t>Part B</t>
  </si>
  <si>
    <t>Gain on sale of PPE</t>
  </si>
  <si>
    <t>Plant &amp; Equipment</t>
  </si>
  <si>
    <t>Accum Depn - PPE</t>
  </si>
  <si>
    <t>DTA</t>
  </si>
  <si>
    <t>Income Tax Expense</t>
  </si>
  <si>
    <t>To eliminate intragroup profit from sale of PPE, elimiate tax impact and reinstate original acucmulated depreciation</t>
  </si>
  <si>
    <t>Accum Dep - PPE</t>
  </si>
  <si>
    <t>Dep Exp</t>
  </si>
  <si>
    <t>To adj. the deprec. Recognised by the group and the related tax effect.</t>
  </si>
  <si>
    <t>Original cost</t>
  </si>
  <si>
    <t>Depreciation to date of tfr</t>
  </si>
  <si>
    <t>Carrying amount at transfer date</t>
  </si>
  <si>
    <t>30/06/20x7</t>
  </si>
  <si>
    <t>Sales Revenue</t>
  </si>
  <si>
    <t>Cost of sales</t>
  </si>
  <si>
    <t>To eliminate intragroup sales</t>
  </si>
  <si>
    <t>Intragroup payable</t>
  </si>
  <si>
    <t>Intragroup receivable</t>
  </si>
  <si>
    <t>Interest revenue</t>
  </si>
  <si>
    <t>Interest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</si>
</sst>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#,##0_);\(#,##0\);\-_);@_)"/>
    <numFmt numFmtId="168" formatCode="_-* #,##0_-;\-* #,##0_-;_-* &quot;-&quot;??_-;_-@_-"/>
  </numFmts>
  <fonts count="7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95">
    <xf numFmtId="0" fontId="0" fillId="0" borderId="0" xfId="0"/>
    <xf numFmtId="0" fontId="2" fillId="0" borderId="0" xfId="0" applyFont="1"/>
    <xf numFmtId="0" fontId="0" fillId="0" borderId="2" xfId="0" applyBorder="1"/>
    <xf numFmtId="0" fontId="3" fillId="0" borderId="0" xfId="0" applyFont="1"/>
    <xf numFmtId="0" fontId="2" fillId="3" borderId="2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2" xfId="0" applyNumberFormat="1" applyBorder="1"/>
    <xf numFmtId="0" fontId="2" fillId="0" borderId="2" xfId="0" applyFont="1" applyFill="1" applyBorder="1"/>
    <xf numFmtId="1" fontId="0" fillId="0" borderId="2" xfId="0" applyNumberFormat="1" applyBorder="1"/>
    <xf numFmtId="0" fontId="0" fillId="0" borderId="0" xfId="0" applyFont="1"/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0" fillId="4" borderId="0" xfId="0" applyFill="1"/>
    <xf numFmtId="0" fontId="2" fillId="5" borderId="0" xfId="0" applyFont="1" applyFill="1"/>
    <xf numFmtId="0" fontId="0" fillId="5" borderId="0" xfId="0" applyFill="1"/>
    <xf numFmtId="0" fontId="0" fillId="5" borderId="0" xfId="0" applyFont="1" applyFill="1"/>
    <xf numFmtId="0" fontId="0" fillId="0" borderId="0" xfId="0" applyAlignment="1"/>
    <xf numFmtId="166" fontId="0" fillId="0" borderId="0" xfId="0" applyNumberFormat="1" applyAlignment="1"/>
    <xf numFmtId="166" fontId="0" fillId="0" borderId="0" xfId="0" applyNumberFormat="1"/>
    <xf numFmtId="166" fontId="0" fillId="2" borderId="1" xfId="3" applyNumberFormat="1" applyFont="1" applyAlignment="1"/>
    <xf numFmtId="0" fontId="2" fillId="0" borderId="0" xfId="0" applyFont="1" applyFill="1" applyBorder="1"/>
    <xf numFmtId="166" fontId="0" fillId="2" borderId="4" xfId="3" applyNumberFormat="1" applyFont="1" applyBorder="1" applyAlignment="1"/>
    <xf numFmtId="0" fontId="4" fillId="4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166" fontId="0" fillId="0" borderId="3" xfId="0" applyNumberFormat="1" applyBorder="1" applyAlignment="1"/>
    <xf numFmtId="166" fontId="0" fillId="0" borderId="3" xfId="0" applyNumberFormat="1" applyBorder="1"/>
    <xf numFmtId="0" fontId="2" fillId="0" borderId="5" xfId="0" applyFont="1" applyBorder="1"/>
    <xf numFmtId="166" fontId="0" fillId="2" borderId="8" xfId="3" applyNumberFormat="1" applyFont="1" applyBorder="1" applyAlignment="1"/>
    <xf numFmtId="166" fontId="0" fillId="2" borderId="9" xfId="3" applyNumberFormat="1" applyFont="1" applyBorder="1" applyAlignment="1"/>
    <xf numFmtId="0" fontId="2" fillId="0" borderId="7" xfId="0" applyFont="1" applyBorder="1"/>
    <xf numFmtId="166" fontId="0" fillId="0" borderId="7" xfId="0" applyNumberFormat="1" applyBorder="1"/>
    <xf numFmtId="166" fontId="0" fillId="0" borderId="10" xfId="0" applyNumberFormat="1" applyBorder="1"/>
    <xf numFmtId="166" fontId="0" fillId="0" borderId="7" xfId="0" applyNumberFormat="1" applyBorder="1" applyAlignment="1"/>
    <xf numFmtId="166" fontId="0" fillId="0" borderId="10" xfId="0" applyNumberFormat="1" applyBorder="1" applyAlignment="1"/>
    <xf numFmtId="0" fontId="2" fillId="0" borderId="11" xfId="0" applyFont="1" applyBorder="1"/>
    <xf numFmtId="166" fontId="0" fillId="0" borderId="11" xfId="0" applyNumberFormat="1" applyBorder="1"/>
    <xf numFmtId="166" fontId="0" fillId="0" borderId="12" xfId="0" applyNumberFormat="1" applyBorder="1"/>
    <xf numFmtId="0" fontId="0" fillId="6" borderId="2" xfId="0" applyFill="1" applyBorder="1"/>
    <xf numFmtId="1" fontId="0" fillId="6" borderId="2" xfId="0" applyNumberFormat="1" applyFill="1" applyBorder="1"/>
    <xf numFmtId="0" fontId="0" fillId="7" borderId="2" xfId="0" applyFill="1" applyBorder="1"/>
    <xf numFmtId="1" fontId="0" fillId="7" borderId="2" xfId="0" applyNumberFormat="1" applyFill="1" applyBorder="1"/>
    <xf numFmtId="166" fontId="2" fillId="0" borderId="6" xfId="0" applyNumberFormat="1" applyFont="1" applyBorder="1"/>
    <xf numFmtId="166" fontId="2" fillId="0" borderId="5" xfId="0" applyNumberFormat="1" applyFont="1" applyBorder="1"/>
    <xf numFmtId="0" fontId="0" fillId="0" borderId="0" xfId="0" applyBorder="1"/>
    <xf numFmtId="14" fontId="0" fillId="0" borderId="0" xfId="0" applyNumberFormat="1"/>
    <xf numFmtId="168" fontId="0" fillId="0" borderId="0" xfId="1" applyNumberFormat="1" applyFont="1"/>
    <xf numFmtId="0" fontId="0" fillId="8" borderId="0" xfId="0" applyFill="1"/>
    <xf numFmtId="168" fontId="2" fillId="0" borderId="6" xfId="1" applyNumberFormat="1" applyFont="1" applyBorder="1"/>
    <xf numFmtId="168" fontId="0" fillId="0" borderId="0" xfId="0" applyNumberFormat="1"/>
    <xf numFmtId="168" fontId="2" fillId="0" borderId="6" xfId="0" applyNumberFormat="1" applyFont="1" applyBorder="1"/>
    <xf numFmtId="0" fontId="2" fillId="3" borderId="12" xfId="0" applyFont="1" applyFill="1" applyBorder="1"/>
    <xf numFmtId="168" fontId="0" fillId="0" borderId="3" xfId="0" applyNumberFormat="1" applyBorder="1"/>
    <xf numFmtId="168" fontId="2" fillId="0" borderId="5" xfId="0" applyNumberFormat="1" applyFont="1" applyBorder="1"/>
    <xf numFmtId="43" fontId="0" fillId="0" borderId="0" xfId="0" applyNumberFormat="1"/>
    <xf numFmtId="0" fontId="0" fillId="0" borderId="6" xfId="0" applyBorder="1"/>
    <xf numFmtId="0" fontId="2" fillId="0" borderId="6" xfId="0" applyFont="1" applyBorder="1"/>
    <xf numFmtId="0" fontId="2" fillId="0" borderId="13" xfId="0" applyFont="1" applyBorder="1"/>
    <xf numFmtId="168" fontId="0" fillId="0" borderId="14" xfId="0" applyNumberFormat="1" applyFont="1" applyBorder="1"/>
    <xf numFmtId="43" fontId="0" fillId="0" borderId="14" xfId="1" applyFont="1" applyBorder="1"/>
    <xf numFmtId="0" fontId="0" fillId="0" borderId="14" xfId="0" applyBorder="1"/>
    <xf numFmtId="168" fontId="2" fillId="0" borderId="15" xfId="0" applyNumberFormat="1" applyFont="1" applyBorder="1"/>
    <xf numFmtId="168" fontId="0" fillId="0" borderId="14" xfId="0" applyNumberFormat="1" applyBorder="1"/>
    <xf numFmtId="168" fontId="0" fillId="0" borderId="14" xfId="1" applyNumberFormat="1" applyFont="1" applyBorder="1"/>
    <xf numFmtId="0" fontId="2" fillId="8" borderId="0" xfId="0" applyFont="1" applyFill="1" applyAlignment="1">
      <alignment horizontal="center" vertical="center" wrapText="1"/>
    </xf>
    <xf numFmtId="9" fontId="0" fillId="0" borderId="0" xfId="2" applyNumberFormat="1" applyFont="1"/>
    <xf numFmtId="168" fontId="0" fillId="2" borderId="1" xfId="3" applyNumberFormat="1" applyFont="1"/>
    <xf numFmtId="0" fontId="5" fillId="0" borderId="0" xfId="0" applyFont="1"/>
    <xf numFmtId="9" fontId="2" fillId="0" borderId="6" xfId="2" applyNumberFormat="1" applyFont="1" applyBorder="1"/>
    <xf numFmtId="168" fontId="2" fillId="2" borderId="16" xfId="1" applyNumberFormat="1" applyFont="1" applyFill="1" applyBorder="1"/>
    <xf numFmtId="168" fontId="2" fillId="8" borderId="6" xfId="1" applyNumberFormat="1" applyFont="1" applyFill="1" applyBorder="1"/>
    <xf numFmtId="0" fontId="0" fillId="4" borderId="6" xfId="0" applyFill="1" applyBorder="1"/>
    <xf numFmtId="0" fontId="5" fillId="4" borderId="0" xfId="0" applyFont="1" applyFill="1"/>
    <xf numFmtId="168" fontId="0" fillId="0" borderId="2" xfId="0" applyNumberFormat="1" applyBorder="1"/>
    <xf numFmtId="0" fontId="0" fillId="0" borderId="18" xfId="0" applyBorder="1"/>
    <xf numFmtId="0" fontId="0" fillId="0" borderId="19" xfId="0" applyBorder="1"/>
    <xf numFmtId="0" fontId="2" fillId="0" borderId="20" xfId="0" applyFont="1" applyBorder="1" applyAlignment="1">
      <alignment horizontal="center"/>
    </xf>
    <xf numFmtId="0" fontId="0" fillId="0" borderId="21" xfId="0" applyBorder="1"/>
    <xf numFmtId="0" fontId="0" fillId="0" borderId="20" xfId="0" applyBorder="1" applyAlignment="1">
      <alignment horizontal="center"/>
    </xf>
    <xf numFmtId="0" fontId="3" fillId="0" borderId="0" xfId="0" applyFont="1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0" borderId="17" xfId="0" applyFont="1" applyBorder="1"/>
    <xf numFmtId="0" fontId="6" fillId="0" borderId="17" xfId="0" applyFont="1" applyBorder="1"/>
    <xf numFmtId="168" fontId="2" fillId="0" borderId="0" xfId="0" applyNumberFormat="1" applyFont="1" applyBorder="1"/>
    <xf numFmtId="0" fontId="0" fillId="0" borderId="0" xfId="0" applyFill="1" applyBorder="1"/>
    <xf numFmtId="0" fontId="2" fillId="0" borderId="18" xfId="0" applyFont="1" applyBorder="1"/>
    <xf numFmtId="168" fontId="0" fillId="0" borderId="18" xfId="1" applyNumberFormat="1" applyFont="1" applyBorder="1"/>
    <xf numFmtId="0" fontId="2" fillId="0" borderId="0" xfId="0" applyFont="1" applyBorder="1"/>
    <xf numFmtId="9" fontId="0" fillId="0" borderId="0" xfId="2" applyFont="1" applyBorder="1"/>
    <xf numFmtId="168" fontId="0" fillId="0" borderId="0" xfId="1" applyNumberFormat="1" applyFont="1" applyBorder="1"/>
    <xf numFmtId="0" fontId="2" fillId="0" borderId="20" xfId="0" applyFont="1" applyBorder="1"/>
    <xf numFmtId="168" fontId="0" fillId="0" borderId="23" xfId="1" applyNumberFormat="1" applyFont="1" applyBorder="1"/>
  </cellXfs>
  <cellStyles count="4">
    <cellStyle name="Comma" xfId="1" builtinId="3"/>
    <cellStyle name="Normal" xfId="0" builtinId="0"/>
    <cellStyle name="Note" xfId="3" builtin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39697-E013-4216-9DC9-97C55912BD05}">
  <dimension ref="A2:H73"/>
  <sheetViews>
    <sheetView zoomScale="160" zoomScaleNormal="160" workbookViewId="0">
      <selection activeCell="A2" sqref="A2:E5"/>
    </sheetView>
  </sheetViews>
  <sheetFormatPr defaultRowHeight="11.25" x14ac:dyDescent="0.2"/>
  <cols>
    <col min="1" max="1" width="5.33203125" style="6" customWidth="1"/>
    <col min="2" max="2" width="25.33203125" customWidth="1"/>
    <col min="3" max="3" width="13" customWidth="1"/>
    <col min="4" max="7" width="9.5" customWidth="1"/>
    <col min="8" max="8" width="11.1640625" customWidth="1"/>
  </cols>
  <sheetData>
    <row r="2" spans="1:5" x14ac:dyDescent="0.2">
      <c r="A2" s="5">
        <v>1</v>
      </c>
      <c r="B2" s="4" t="s">
        <v>0</v>
      </c>
      <c r="C2" s="4" t="s">
        <v>1</v>
      </c>
      <c r="D2" s="4" t="s">
        <v>2</v>
      </c>
      <c r="E2" s="4" t="s">
        <v>3</v>
      </c>
    </row>
    <row r="3" spans="1:5" x14ac:dyDescent="0.2">
      <c r="B3" s="7" t="s">
        <v>5</v>
      </c>
      <c r="C3" s="2" t="s">
        <v>6</v>
      </c>
      <c r="D3" s="2">
        <v>500000</v>
      </c>
      <c r="E3" s="2"/>
    </row>
    <row r="4" spans="1:5" x14ac:dyDescent="0.2">
      <c r="B4" s="2"/>
      <c r="C4" s="2" t="s">
        <v>7</v>
      </c>
      <c r="D4" s="2"/>
      <c r="E4" s="2">
        <f>D3</f>
        <v>500000</v>
      </c>
    </row>
    <row r="5" spans="1:5" x14ac:dyDescent="0.2">
      <c r="B5" s="3" t="s">
        <v>4</v>
      </c>
    </row>
    <row r="8" spans="1:5" x14ac:dyDescent="0.2">
      <c r="A8" s="5">
        <v>2</v>
      </c>
      <c r="B8" s="4" t="s">
        <v>0</v>
      </c>
      <c r="C8" s="4" t="s">
        <v>1</v>
      </c>
      <c r="D8" s="4" t="s">
        <v>2</v>
      </c>
      <c r="E8" s="4" t="s">
        <v>3</v>
      </c>
    </row>
    <row r="9" spans="1:5" x14ac:dyDescent="0.2">
      <c r="B9" s="7" t="s">
        <v>8</v>
      </c>
      <c r="C9" s="2" t="s">
        <v>9</v>
      </c>
      <c r="D9" s="2">
        <f>0.1*2250000</f>
        <v>225000</v>
      </c>
      <c r="E9" s="2"/>
    </row>
    <row r="10" spans="1:5" x14ac:dyDescent="0.2">
      <c r="B10" s="2"/>
      <c r="C10" s="2" t="s">
        <v>6</v>
      </c>
      <c r="D10" s="2"/>
      <c r="E10" s="2">
        <f>D9</f>
        <v>225000</v>
      </c>
    </row>
    <row r="11" spans="1:5" x14ac:dyDescent="0.2">
      <c r="B11" s="3" t="s">
        <v>10</v>
      </c>
    </row>
    <row r="13" spans="1:5" x14ac:dyDescent="0.2">
      <c r="A13" s="5">
        <v>3</v>
      </c>
      <c r="B13" s="8" t="s">
        <v>11</v>
      </c>
      <c r="C13" s="8" t="s">
        <v>1</v>
      </c>
      <c r="D13" s="8" t="s">
        <v>12</v>
      </c>
      <c r="E13" s="8" t="s">
        <v>13</v>
      </c>
    </row>
    <row r="14" spans="1:5" x14ac:dyDescent="0.2">
      <c r="B14" t="s">
        <v>15</v>
      </c>
      <c r="C14" t="s">
        <v>14</v>
      </c>
      <c r="D14">
        <f>(50-2-5)*5000*2*1/2</f>
        <v>215000</v>
      </c>
    </row>
    <row r="15" spans="1:5" x14ac:dyDescent="0.2">
      <c r="B15" t="s">
        <v>16</v>
      </c>
      <c r="C15" t="s">
        <v>17</v>
      </c>
      <c r="D15">
        <f>(50-2-4-3)*5000*2*2/3</f>
        <v>273333.33333333331</v>
      </c>
      <c r="E15">
        <f>D15-D14</f>
        <v>58333.333333333314</v>
      </c>
    </row>
    <row r="18" spans="1:5" x14ac:dyDescent="0.2">
      <c r="B18" s="4" t="s">
        <v>0</v>
      </c>
      <c r="C18" s="4" t="s">
        <v>1</v>
      </c>
      <c r="D18" s="4" t="s">
        <v>2</v>
      </c>
      <c r="E18" s="4" t="s">
        <v>3</v>
      </c>
    </row>
    <row r="19" spans="1:5" x14ac:dyDescent="0.2">
      <c r="B19" s="7" t="s">
        <v>18</v>
      </c>
      <c r="C19" s="2" t="s">
        <v>19</v>
      </c>
      <c r="D19" s="9">
        <f>E15</f>
        <v>58333.333333333314</v>
      </c>
      <c r="E19" s="2"/>
    </row>
    <row r="20" spans="1:5" x14ac:dyDescent="0.2">
      <c r="B20" s="2"/>
      <c r="C20" s="2" t="s">
        <v>20</v>
      </c>
      <c r="D20" s="2"/>
      <c r="E20" s="9">
        <f>D19</f>
        <v>58333.333333333314</v>
      </c>
    </row>
    <row r="21" spans="1:5" x14ac:dyDescent="0.2">
      <c r="B21" s="3" t="s">
        <v>21</v>
      </c>
    </row>
    <row r="23" spans="1:5" x14ac:dyDescent="0.2">
      <c r="A23" s="5">
        <v>4</v>
      </c>
      <c r="B23" s="4" t="s">
        <v>0</v>
      </c>
      <c r="C23" s="4" t="s">
        <v>1</v>
      </c>
      <c r="D23" s="4" t="s">
        <v>2</v>
      </c>
      <c r="E23" s="4" t="s">
        <v>3</v>
      </c>
    </row>
    <row r="24" spans="1:5" x14ac:dyDescent="0.2">
      <c r="B24" s="7" t="s">
        <v>22</v>
      </c>
      <c r="C24" s="2" t="s">
        <v>26</v>
      </c>
      <c r="D24" s="9">
        <f>520000</f>
        <v>520000</v>
      </c>
      <c r="E24" s="2"/>
    </row>
    <row r="25" spans="1:5" x14ac:dyDescent="0.2">
      <c r="B25" s="2"/>
      <c r="C25" s="2" t="s">
        <v>6</v>
      </c>
      <c r="D25" s="2"/>
      <c r="E25" s="9">
        <f>D24</f>
        <v>520000</v>
      </c>
    </row>
    <row r="26" spans="1:5" x14ac:dyDescent="0.2">
      <c r="B26" s="3" t="s">
        <v>24</v>
      </c>
    </row>
    <row r="27" spans="1:5" x14ac:dyDescent="0.2">
      <c r="B27" s="3"/>
    </row>
    <row r="28" spans="1:5" x14ac:dyDescent="0.2">
      <c r="B28" s="4" t="s">
        <v>0</v>
      </c>
      <c r="C28" s="4" t="s">
        <v>1</v>
      </c>
      <c r="D28" s="4" t="s">
        <v>2</v>
      </c>
      <c r="E28" s="4" t="s">
        <v>3</v>
      </c>
    </row>
    <row r="29" spans="1:5" x14ac:dyDescent="0.2">
      <c r="B29" s="7" t="s">
        <v>22</v>
      </c>
      <c r="C29" s="2" t="s">
        <v>23</v>
      </c>
      <c r="D29" s="9">
        <f>545000-D24</f>
        <v>25000</v>
      </c>
      <c r="E29" s="2"/>
    </row>
    <row r="30" spans="1:5" x14ac:dyDescent="0.2">
      <c r="B30" s="2"/>
      <c r="C30" s="40" t="s">
        <v>27</v>
      </c>
      <c r="D30" s="40"/>
      <c r="E30" s="41">
        <f>D29</f>
        <v>25000</v>
      </c>
    </row>
    <row r="31" spans="1:5" x14ac:dyDescent="0.2">
      <c r="B31" s="3" t="s">
        <v>25</v>
      </c>
    </row>
    <row r="33" spans="1:5" x14ac:dyDescent="0.2">
      <c r="A33" s="5">
        <v>5</v>
      </c>
      <c r="B33" s="4" t="s">
        <v>0</v>
      </c>
      <c r="C33" s="4" t="s">
        <v>1</v>
      </c>
      <c r="D33" s="4" t="s">
        <v>2</v>
      </c>
      <c r="E33" s="4" t="s">
        <v>3</v>
      </c>
    </row>
    <row r="34" spans="1:5" x14ac:dyDescent="0.2">
      <c r="B34" s="7" t="s">
        <v>29</v>
      </c>
      <c r="C34" s="2" t="s">
        <v>30</v>
      </c>
      <c r="D34" s="9">
        <v>400000</v>
      </c>
      <c r="E34" s="2"/>
    </row>
    <row r="35" spans="1:5" x14ac:dyDescent="0.2">
      <c r="B35" s="2"/>
      <c r="C35" s="2" t="s">
        <v>6</v>
      </c>
      <c r="D35" s="2"/>
      <c r="E35" s="9">
        <f>D34</f>
        <v>400000</v>
      </c>
    </row>
    <row r="36" spans="1:5" x14ac:dyDescent="0.2">
      <c r="B36" s="3" t="s">
        <v>28</v>
      </c>
    </row>
    <row r="38" spans="1:5" x14ac:dyDescent="0.2">
      <c r="B38" s="4" t="s">
        <v>0</v>
      </c>
      <c r="C38" s="4" t="s">
        <v>1</v>
      </c>
      <c r="D38" s="4" t="s">
        <v>2</v>
      </c>
      <c r="E38" s="4" t="s">
        <v>3</v>
      </c>
    </row>
    <row r="39" spans="1:5" x14ac:dyDescent="0.2">
      <c r="B39" s="7">
        <v>43281</v>
      </c>
      <c r="C39" s="2" t="s">
        <v>30</v>
      </c>
      <c r="D39" s="9">
        <v>80000</v>
      </c>
      <c r="E39" s="2"/>
    </row>
    <row r="40" spans="1:5" x14ac:dyDescent="0.2">
      <c r="B40" s="2"/>
      <c r="C40" s="38" t="s">
        <v>31</v>
      </c>
      <c r="D40" s="38"/>
      <c r="E40" s="39">
        <f>D39</f>
        <v>80000</v>
      </c>
    </row>
    <row r="41" spans="1:5" x14ac:dyDescent="0.2">
      <c r="B41" s="3" t="s">
        <v>28</v>
      </c>
    </row>
    <row r="43" spans="1:5" x14ac:dyDescent="0.2">
      <c r="B43" s="4" t="s">
        <v>0</v>
      </c>
      <c r="C43" s="4" t="s">
        <v>1</v>
      </c>
      <c r="D43" s="4" t="s">
        <v>2</v>
      </c>
      <c r="E43" s="4" t="s">
        <v>3</v>
      </c>
    </row>
    <row r="44" spans="1:5" x14ac:dyDescent="0.2">
      <c r="B44" s="7">
        <v>43281</v>
      </c>
      <c r="C44" s="38" t="s">
        <v>32</v>
      </c>
      <c r="D44" s="39">
        <v>200000</v>
      </c>
      <c r="E44" s="2"/>
    </row>
    <row r="45" spans="1:5" x14ac:dyDescent="0.2">
      <c r="B45" s="2"/>
      <c r="C45" s="2" t="s">
        <v>33</v>
      </c>
      <c r="D45" s="2">
        <v>50000</v>
      </c>
      <c r="E45" s="9"/>
    </row>
    <row r="46" spans="1:5" x14ac:dyDescent="0.2">
      <c r="B46" s="2"/>
      <c r="C46" s="2" t="s">
        <v>34</v>
      </c>
      <c r="D46" s="2"/>
      <c r="E46" s="9">
        <v>250000</v>
      </c>
    </row>
    <row r="47" spans="1:5" x14ac:dyDescent="0.2">
      <c r="B47" s="3" t="s">
        <v>35</v>
      </c>
    </row>
    <row r="49" spans="2:8" x14ac:dyDescent="0.2">
      <c r="B49" s="14" t="s">
        <v>36</v>
      </c>
      <c r="C49" s="15"/>
      <c r="D49" s="15"/>
      <c r="E49" s="15"/>
      <c r="F49" s="15"/>
      <c r="G49" s="15"/>
      <c r="H49" s="15"/>
    </row>
    <row r="50" spans="2:8" x14ac:dyDescent="0.2">
      <c r="B50" s="16" t="s">
        <v>37</v>
      </c>
      <c r="C50" s="15"/>
      <c r="D50" s="15"/>
      <c r="E50" s="15"/>
      <c r="F50" s="15"/>
      <c r="G50" s="15"/>
      <c r="H50" s="15"/>
    </row>
    <row r="51" spans="2:8" x14ac:dyDescent="0.2">
      <c r="B51" s="13"/>
      <c r="C51" s="11" t="s">
        <v>46</v>
      </c>
      <c r="D51" s="11"/>
      <c r="E51" s="11"/>
      <c r="F51" s="11"/>
      <c r="G51" s="11"/>
      <c r="H51" s="11"/>
    </row>
    <row r="52" spans="2:8" ht="25.5" customHeight="1" x14ac:dyDescent="0.2">
      <c r="B52" s="13"/>
      <c r="C52" s="12" t="s">
        <v>38</v>
      </c>
      <c r="D52" s="12" t="s">
        <v>39</v>
      </c>
      <c r="E52" s="12" t="s">
        <v>40</v>
      </c>
      <c r="F52" s="12" t="s">
        <v>41</v>
      </c>
      <c r="G52" s="12" t="s">
        <v>42</v>
      </c>
      <c r="H52" s="23" t="s">
        <v>43</v>
      </c>
    </row>
    <row r="53" spans="2:8" x14ac:dyDescent="0.2">
      <c r="C53" s="17" t="s">
        <v>44</v>
      </c>
      <c r="D53" s="17" t="s">
        <v>44</v>
      </c>
      <c r="E53" s="17" t="s">
        <v>44</v>
      </c>
      <c r="F53" s="17" t="s">
        <v>44</v>
      </c>
      <c r="G53" s="17" t="s">
        <v>44</v>
      </c>
      <c r="H53" s="24" t="s">
        <v>44</v>
      </c>
    </row>
    <row r="54" spans="2:8" x14ac:dyDescent="0.2">
      <c r="B54" t="s">
        <v>45</v>
      </c>
      <c r="C54" s="18">
        <v>4000000</v>
      </c>
      <c r="D54" s="18">
        <v>215000</v>
      </c>
      <c r="E54" s="18">
        <v>200000</v>
      </c>
      <c r="F54" s="18">
        <v>0</v>
      </c>
      <c r="G54" s="18">
        <v>1300000</v>
      </c>
      <c r="H54" s="25">
        <f>SUM(C54:G54)</f>
        <v>5715000</v>
      </c>
    </row>
    <row r="55" spans="2:8" x14ac:dyDescent="0.2">
      <c r="B55" s="1" t="s">
        <v>49</v>
      </c>
      <c r="C55" s="18"/>
      <c r="D55" s="18"/>
      <c r="E55" s="18"/>
      <c r="F55" s="18"/>
      <c r="G55" s="18"/>
      <c r="H55" s="25"/>
    </row>
    <row r="56" spans="2:8" x14ac:dyDescent="0.2">
      <c r="B56" t="s">
        <v>47</v>
      </c>
      <c r="C56" s="20"/>
      <c r="D56" s="20"/>
      <c r="E56" s="20"/>
      <c r="F56" s="20"/>
      <c r="G56" s="22">
        <v>420000</v>
      </c>
      <c r="H56" s="25">
        <f>SUM(C56:G56)</f>
        <v>420000</v>
      </c>
    </row>
    <row r="57" spans="2:8" x14ac:dyDescent="0.2">
      <c r="B57" s="1" t="s">
        <v>48</v>
      </c>
      <c r="C57" s="18"/>
      <c r="D57" s="18"/>
      <c r="E57" s="18"/>
      <c r="F57" s="18"/>
      <c r="G57" s="18"/>
      <c r="H57" s="25"/>
    </row>
    <row r="58" spans="2:8" x14ac:dyDescent="0.2">
      <c r="B58" s="10" t="s">
        <v>50</v>
      </c>
      <c r="C58" s="20"/>
      <c r="D58" s="20"/>
      <c r="E58" s="20">
        <f>(D44-E40)*-1</f>
        <v>-120000</v>
      </c>
      <c r="F58" s="20"/>
      <c r="G58" s="22"/>
      <c r="H58" s="25">
        <f t="shared" ref="H58:H59" si="0">SUM(C58:G58)</f>
        <v>-120000</v>
      </c>
    </row>
    <row r="59" spans="2:8" x14ac:dyDescent="0.2">
      <c r="B59" s="10" t="s">
        <v>51</v>
      </c>
      <c r="C59" s="28"/>
      <c r="D59" s="28"/>
      <c r="E59" s="28"/>
      <c r="F59" s="28">
        <f>E30</f>
        <v>25000</v>
      </c>
      <c r="G59" s="29"/>
      <c r="H59" s="25">
        <f t="shared" si="0"/>
        <v>25000</v>
      </c>
    </row>
    <row r="60" spans="2:8" x14ac:dyDescent="0.2">
      <c r="B60" s="30" t="s">
        <v>52</v>
      </c>
      <c r="C60" s="33">
        <f>SUM(C57:C59)</f>
        <v>0</v>
      </c>
      <c r="D60" s="33">
        <f t="shared" ref="D60:H60" si="1">SUM(D57:D59)</f>
        <v>0</v>
      </c>
      <c r="E60" s="33">
        <f t="shared" si="1"/>
        <v>-120000</v>
      </c>
      <c r="F60" s="33">
        <f t="shared" si="1"/>
        <v>25000</v>
      </c>
      <c r="G60" s="33">
        <f t="shared" si="1"/>
        <v>0</v>
      </c>
      <c r="H60" s="34">
        <f t="shared" si="1"/>
        <v>-95000</v>
      </c>
    </row>
    <row r="61" spans="2:8" x14ac:dyDescent="0.2">
      <c r="B61" s="35" t="s">
        <v>53</v>
      </c>
      <c r="C61" s="36">
        <f>SUM(C56,C60)</f>
        <v>0</v>
      </c>
      <c r="D61" s="36">
        <f t="shared" ref="D61:H61" si="2">SUM(D56,D60)</f>
        <v>0</v>
      </c>
      <c r="E61" s="36">
        <f t="shared" si="2"/>
        <v>-120000</v>
      </c>
      <c r="F61" s="36">
        <f t="shared" si="2"/>
        <v>25000</v>
      </c>
      <c r="G61" s="36">
        <f t="shared" si="2"/>
        <v>420000</v>
      </c>
      <c r="H61" s="37">
        <f t="shared" si="2"/>
        <v>325000</v>
      </c>
    </row>
    <row r="62" spans="2:8" x14ac:dyDescent="0.2">
      <c r="C62" s="19"/>
      <c r="D62" s="19"/>
      <c r="E62" s="19"/>
      <c r="F62" s="19"/>
      <c r="G62" s="19"/>
      <c r="H62" s="26"/>
    </row>
    <row r="63" spans="2:8" x14ac:dyDescent="0.2">
      <c r="B63" s="1" t="s">
        <v>54</v>
      </c>
      <c r="C63" s="19"/>
      <c r="D63" s="19"/>
      <c r="E63" s="19"/>
      <c r="F63" s="19"/>
      <c r="G63" s="19"/>
      <c r="H63" s="26"/>
    </row>
    <row r="64" spans="2:8" x14ac:dyDescent="0.2">
      <c r="B64" s="21" t="s">
        <v>55</v>
      </c>
      <c r="C64" s="19"/>
      <c r="D64" s="19"/>
      <c r="E64" s="19"/>
      <c r="F64" s="19"/>
      <c r="G64" s="19"/>
      <c r="H64" s="26"/>
    </row>
    <row r="65" spans="2:8" x14ac:dyDescent="0.2">
      <c r="B65" s="10" t="s">
        <v>56</v>
      </c>
      <c r="C65" s="20">
        <f>E4</f>
        <v>500000</v>
      </c>
      <c r="D65" s="20"/>
      <c r="E65" s="20"/>
      <c r="F65" s="20"/>
      <c r="G65" s="22"/>
      <c r="H65" s="25">
        <f t="shared" ref="H65:H67" si="3">SUM(C65:G65)</f>
        <v>500000</v>
      </c>
    </row>
    <row r="66" spans="2:8" x14ac:dyDescent="0.2">
      <c r="B66" s="10" t="s">
        <v>57</v>
      </c>
      <c r="C66" s="20"/>
      <c r="D66" s="20">
        <f>E20</f>
        <v>58333.333333333314</v>
      </c>
      <c r="E66" s="20"/>
      <c r="F66" s="20"/>
      <c r="G66" s="22"/>
      <c r="H66" s="25">
        <f t="shared" si="3"/>
        <v>58333.333333333314</v>
      </c>
    </row>
    <row r="67" spans="2:8" x14ac:dyDescent="0.2">
      <c r="B67" s="10" t="s">
        <v>58</v>
      </c>
      <c r="C67" s="28"/>
      <c r="D67" s="28"/>
      <c r="E67" s="28"/>
      <c r="F67" s="28"/>
      <c r="G67" s="29">
        <f>-D9</f>
        <v>-225000</v>
      </c>
      <c r="H67" s="25">
        <f t="shared" si="3"/>
        <v>-225000</v>
      </c>
    </row>
    <row r="68" spans="2:8" x14ac:dyDescent="0.2">
      <c r="B68" s="30" t="s">
        <v>59</v>
      </c>
      <c r="C68" s="31">
        <f>SUM(C65:C67)</f>
        <v>500000</v>
      </c>
      <c r="D68" s="31">
        <f t="shared" ref="D68:H68" si="4">SUM(D65:D67)</f>
        <v>58333.333333333314</v>
      </c>
      <c r="E68" s="31">
        <f t="shared" si="4"/>
        <v>0</v>
      </c>
      <c r="F68" s="31">
        <f t="shared" si="4"/>
        <v>0</v>
      </c>
      <c r="G68" s="31">
        <f t="shared" si="4"/>
        <v>-225000</v>
      </c>
      <c r="H68" s="32">
        <f t="shared" si="4"/>
        <v>333333.33333333326</v>
      </c>
    </row>
    <row r="69" spans="2:8" x14ac:dyDescent="0.2">
      <c r="C69" s="19"/>
      <c r="D69" s="19"/>
      <c r="E69" s="19"/>
      <c r="F69" s="19"/>
      <c r="G69" s="19"/>
      <c r="H69" s="26"/>
    </row>
    <row r="70" spans="2:8" ht="12" thickBot="1" x14ac:dyDescent="0.25">
      <c r="B70" s="27" t="s">
        <v>60</v>
      </c>
      <c r="C70" s="42">
        <f t="shared" ref="C70:H70" si="5">C54+C61+C68</f>
        <v>4500000</v>
      </c>
      <c r="D70" s="42">
        <f t="shared" si="5"/>
        <v>273333.33333333331</v>
      </c>
      <c r="E70" s="42">
        <f t="shared" si="5"/>
        <v>80000</v>
      </c>
      <c r="F70" s="42">
        <f t="shared" si="5"/>
        <v>25000</v>
      </c>
      <c r="G70" s="42">
        <f>G54+G61+G68</f>
        <v>1495000</v>
      </c>
      <c r="H70" s="43">
        <f t="shared" si="5"/>
        <v>6373333.333333333</v>
      </c>
    </row>
    <row r="71" spans="2:8" x14ac:dyDescent="0.2">
      <c r="C71" s="19"/>
      <c r="D71" s="19"/>
      <c r="E71" s="19"/>
      <c r="F71" s="19"/>
      <c r="G71" s="19"/>
      <c r="H71" s="26"/>
    </row>
    <row r="72" spans="2:8" x14ac:dyDescent="0.2">
      <c r="C72" s="19"/>
      <c r="D72" s="19"/>
      <c r="E72" s="19"/>
      <c r="F72" s="19"/>
      <c r="G72" s="19"/>
      <c r="H72" s="19"/>
    </row>
    <row r="73" spans="2:8" x14ac:dyDescent="0.2">
      <c r="C73" s="19"/>
      <c r="D73" s="19"/>
      <c r="E73" s="19"/>
      <c r="F73" s="19"/>
      <c r="G73" s="19"/>
      <c r="H73" s="19"/>
    </row>
  </sheetData>
  <mergeCells count="1">
    <mergeCell ref="C51:H5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B8504-C2FF-47D5-8AAB-E55605C222BB}">
  <dimension ref="A1:I37"/>
  <sheetViews>
    <sheetView topLeftCell="B28" zoomScale="190" zoomScaleNormal="190" workbookViewId="0">
      <selection activeCell="C47" sqref="C47"/>
    </sheetView>
  </sheetViews>
  <sheetFormatPr defaultRowHeight="11.25" x14ac:dyDescent="0.2"/>
  <cols>
    <col min="1" max="1" width="6.5" customWidth="1"/>
    <col min="2" max="2" width="11.5" customWidth="1"/>
    <col min="3" max="3" width="17.83203125" customWidth="1"/>
    <col min="4" max="5" width="10.33203125" customWidth="1"/>
    <col min="6" max="6" width="12.1640625" customWidth="1"/>
    <col min="7" max="7" width="10.1640625" bestFit="1" customWidth="1"/>
    <col min="8" max="8" width="5.1640625" customWidth="1"/>
    <col min="9" max="9" width="33.33203125" customWidth="1"/>
  </cols>
  <sheetData>
    <row r="1" spans="1:7" x14ac:dyDescent="0.2">
      <c r="A1" s="6"/>
    </row>
    <row r="2" spans="1:7" x14ac:dyDescent="0.2">
      <c r="A2" s="5">
        <v>1</v>
      </c>
      <c r="B2" s="4" t="s">
        <v>0</v>
      </c>
      <c r="C2" s="4" t="s">
        <v>1</v>
      </c>
      <c r="D2" s="4" t="s">
        <v>2</v>
      </c>
      <c r="E2" s="4"/>
      <c r="F2" s="4" t="s">
        <v>3</v>
      </c>
    </row>
    <row r="3" spans="1:7" x14ac:dyDescent="0.2">
      <c r="A3" s="6"/>
      <c r="B3" s="2"/>
      <c r="C3" s="2" t="s">
        <v>61</v>
      </c>
      <c r="D3" s="2"/>
      <c r="E3" s="2"/>
      <c r="F3" s="2">
        <v>76000</v>
      </c>
    </row>
    <row r="4" spans="1:7" x14ac:dyDescent="0.2">
      <c r="A4" s="6"/>
      <c r="B4" s="7"/>
      <c r="C4" s="2" t="s">
        <v>62</v>
      </c>
      <c r="D4" s="2">
        <f>G8</f>
        <v>74792</v>
      </c>
      <c r="E4" s="2"/>
      <c r="F4" s="2"/>
    </row>
    <row r="5" spans="1:7" x14ac:dyDescent="0.2">
      <c r="A5" s="6"/>
      <c r="B5" s="2"/>
      <c r="C5" s="2" t="s">
        <v>65</v>
      </c>
      <c r="D5" s="2">
        <f>F3-D4</f>
        <v>1208</v>
      </c>
      <c r="E5" s="2"/>
      <c r="F5" s="2"/>
    </row>
    <row r="6" spans="1:7" x14ac:dyDescent="0.2">
      <c r="A6" s="6"/>
      <c r="B6" s="3" t="s">
        <v>4</v>
      </c>
    </row>
    <row r="7" spans="1:7" x14ac:dyDescent="0.2">
      <c r="G7" t="s">
        <v>64</v>
      </c>
    </row>
    <row r="8" spans="1:7" x14ac:dyDescent="0.2">
      <c r="B8" s="1" t="s">
        <v>63</v>
      </c>
      <c r="C8">
        <v>0</v>
      </c>
      <c r="D8">
        <v>-28449</v>
      </c>
      <c r="F8">
        <v>46343</v>
      </c>
      <c r="G8">
        <f>F8-D8</f>
        <v>74792</v>
      </c>
    </row>
    <row r="9" spans="1:7" x14ac:dyDescent="0.2">
      <c r="B9" s="1" t="s">
        <v>61</v>
      </c>
      <c r="C9">
        <v>0</v>
      </c>
      <c r="D9">
        <v>29000</v>
      </c>
      <c r="F9">
        <v>-47000</v>
      </c>
      <c r="G9">
        <f>F9-D9</f>
        <v>-76000</v>
      </c>
    </row>
    <row r="13" spans="1:7" x14ac:dyDescent="0.2">
      <c r="B13" s="4" t="s">
        <v>0</v>
      </c>
      <c r="C13" s="4" t="s">
        <v>1</v>
      </c>
      <c r="D13" s="4" t="s">
        <v>67</v>
      </c>
      <c r="E13" s="4"/>
      <c r="F13" s="4" t="s">
        <v>68</v>
      </c>
      <c r="G13" s="4" t="s">
        <v>69</v>
      </c>
    </row>
    <row r="14" spans="1:7" x14ac:dyDescent="0.2">
      <c r="B14" s="45">
        <v>42794</v>
      </c>
      <c r="C14" t="s">
        <v>66</v>
      </c>
      <c r="D14">
        <v>200000</v>
      </c>
      <c r="F14">
        <v>0.77</v>
      </c>
      <c r="G14">
        <f>D14/F14</f>
        <v>259740.25974025973</v>
      </c>
    </row>
    <row r="15" spans="1:7" x14ac:dyDescent="0.2">
      <c r="C15" t="s">
        <v>70</v>
      </c>
      <c r="G15">
        <v>1052632</v>
      </c>
    </row>
    <row r="16" spans="1:7" x14ac:dyDescent="0.2">
      <c r="G16">
        <f>SUM(G14:G15)</f>
        <v>1312372.2597402597</v>
      </c>
    </row>
    <row r="20" spans="2:9" x14ac:dyDescent="0.2">
      <c r="B20" s="4" t="s">
        <v>0</v>
      </c>
      <c r="C20" s="4" t="s">
        <v>1</v>
      </c>
      <c r="D20" s="4" t="s">
        <v>71</v>
      </c>
      <c r="E20" s="4" t="s">
        <v>83</v>
      </c>
      <c r="F20" s="51" t="s">
        <v>72</v>
      </c>
      <c r="G20" s="4" t="s">
        <v>73</v>
      </c>
      <c r="I20" s="4" t="s">
        <v>74</v>
      </c>
    </row>
    <row r="21" spans="2:9" x14ac:dyDescent="0.2">
      <c r="B21" t="s">
        <v>84</v>
      </c>
      <c r="C21" t="s">
        <v>78</v>
      </c>
      <c r="D21">
        <v>1200000</v>
      </c>
      <c r="E21">
        <v>20</v>
      </c>
      <c r="F21" s="46">
        <f>0.045*D21/12*E21</f>
        <v>90000</v>
      </c>
      <c r="G21" s="52">
        <f>SUM(D21,F21)</f>
        <v>1290000</v>
      </c>
    </row>
    <row r="22" spans="2:9" x14ac:dyDescent="0.2">
      <c r="B22" t="s">
        <v>75</v>
      </c>
      <c r="C22" t="s">
        <v>79</v>
      </c>
      <c r="D22">
        <v>30000</v>
      </c>
      <c r="E22">
        <v>19</v>
      </c>
      <c r="F22" s="46">
        <f>0.045*D22/12*E22</f>
        <v>2137.5</v>
      </c>
      <c r="G22" s="52">
        <f t="shared" ref="G22:G26" si="0">SUM(D22,F22)</f>
        <v>32137.5</v>
      </c>
    </row>
    <row r="23" spans="2:9" x14ac:dyDescent="0.2">
      <c r="B23" t="s">
        <v>76</v>
      </c>
      <c r="C23" t="s">
        <v>80</v>
      </c>
      <c r="D23">
        <v>100000</v>
      </c>
      <c r="E23">
        <v>2</v>
      </c>
      <c r="F23" s="46">
        <f t="shared" ref="F22:F23" si="1">0.045*D23/12*E23</f>
        <v>750</v>
      </c>
      <c r="G23" s="52">
        <f t="shared" si="0"/>
        <v>100750</v>
      </c>
    </row>
    <row r="24" spans="2:9" x14ac:dyDescent="0.2">
      <c r="B24" t="s">
        <v>77</v>
      </c>
      <c r="C24" t="s">
        <v>81</v>
      </c>
      <c r="D24">
        <v>35000</v>
      </c>
      <c r="E24" s="47"/>
      <c r="F24" s="47"/>
      <c r="G24" s="52">
        <f t="shared" si="0"/>
        <v>35000</v>
      </c>
    </row>
    <row r="25" spans="2:9" x14ac:dyDescent="0.2">
      <c r="B25" t="s">
        <v>77</v>
      </c>
      <c r="C25" t="s">
        <v>82</v>
      </c>
      <c r="D25" s="46">
        <f>300000/(1+0.05)^10</f>
        <v>184173.9760622278</v>
      </c>
      <c r="E25" s="47"/>
      <c r="F25" s="47"/>
      <c r="G25" s="52">
        <f t="shared" si="0"/>
        <v>184173.9760622278</v>
      </c>
    </row>
    <row r="26" spans="2:9" ht="12" thickBot="1" x14ac:dyDescent="0.25">
      <c r="C26" s="1" t="s">
        <v>43</v>
      </c>
      <c r="D26" s="48">
        <f>SUM(D21:D25)</f>
        <v>1549173.9760622277</v>
      </c>
      <c r="E26" s="48"/>
      <c r="F26" s="48">
        <f>SUM(F21:F25)</f>
        <v>92887.5</v>
      </c>
      <c r="G26" s="53">
        <f t="shared" si="0"/>
        <v>1642061.4760622277</v>
      </c>
    </row>
    <row r="29" spans="2:9" x14ac:dyDescent="0.2">
      <c r="D29" s="57" t="s">
        <v>88</v>
      </c>
      <c r="E29" s="57" t="s">
        <v>89</v>
      </c>
    </row>
    <row r="30" spans="2:9" x14ac:dyDescent="0.2">
      <c r="C30" s="10" t="s">
        <v>85</v>
      </c>
      <c r="D30" s="58">
        <f>G26</f>
        <v>1642061.4760622277</v>
      </c>
      <c r="E30" s="62">
        <f>D30</f>
        <v>1642061.4760622277</v>
      </c>
    </row>
    <row r="31" spans="2:9" x14ac:dyDescent="0.2">
      <c r="C31" t="s">
        <v>86</v>
      </c>
      <c r="D31" s="59">
        <f>-D30/10/12*2</f>
        <v>-27367.691267703794</v>
      </c>
      <c r="E31" s="63">
        <f>-E30/7/12*2</f>
        <v>-39096.701811005427</v>
      </c>
    </row>
    <row r="32" spans="2:9" ht="12" thickBot="1" x14ac:dyDescent="0.25">
      <c r="C32" s="56" t="s">
        <v>87</v>
      </c>
      <c r="D32" s="57"/>
      <c r="E32" s="60"/>
    </row>
    <row r="33" spans="3:5" ht="12" thickBot="1" x14ac:dyDescent="0.25">
      <c r="D33" s="61">
        <f>SUM(D30:D31)</f>
        <v>1614693.7847945238</v>
      </c>
      <c r="E33" s="61">
        <f>SUM(E30:E31)</f>
        <v>1602964.7742512224</v>
      </c>
    </row>
    <row r="35" spans="3:5" ht="12" thickBot="1" x14ac:dyDescent="0.25">
      <c r="C35" s="56" t="s">
        <v>90</v>
      </c>
      <c r="D35" s="55"/>
      <c r="E35" s="50">
        <f>D33-E33</f>
        <v>11729.010543301469</v>
      </c>
    </row>
    <row r="37" spans="3:5" ht="12" thickBot="1" x14ac:dyDescent="0.25">
      <c r="C37" s="56" t="s">
        <v>91</v>
      </c>
      <c r="D37" s="55"/>
      <c r="E37" s="50">
        <f>E35*0.3</f>
        <v>3518.7031629904404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DB9DF-BC48-4FC6-9AE2-F46D33572C8A}">
  <dimension ref="A2:H81"/>
  <sheetViews>
    <sheetView topLeftCell="A55" zoomScale="175" zoomScaleNormal="175" workbookViewId="0">
      <selection activeCell="A57" sqref="A57:E60"/>
    </sheetView>
  </sheetViews>
  <sheetFormatPr defaultRowHeight="11.25" x14ac:dyDescent="0.2"/>
  <cols>
    <col min="2" max="2" width="11" customWidth="1"/>
    <col min="3" max="3" width="17.33203125" customWidth="1"/>
    <col min="4" max="4" width="10.5" customWidth="1"/>
    <col min="5" max="5" width="10.83203125" customWidth="1"/>
    <col min="6" max="6" width="13.33203125" customWidth="1"/>
    <col min="7" max="7" width="9.33203125" customWidth="1"/>
    <col min="8" max="8" width="11.6640625" customWidth="1"/>
  </cols>
  <sheetData>
    <row r="2" spans="1:8" ht="27" customHeight="1" x14ac:dyDescent="0.2">
      <c r="B2" s="64" t="s">
        <v>92</v>
      </c>
      <c r="C2" s="64" t="s">
        <v>93</v>
      </c>
      <c r="D2" s="64" t="s">
        <v>98</v>
      </c>
      <c r="E2" s="64" t="s">
        <v>94</v>
      </c>
      <c r="F2" s="64" t="s">
        <v>103</v>
      </c>
      <c r="G2" s="64" t="s">
        <v>105</v>
      </c>
      <c r="H2" s="64" t="s">
        <v>104</v>
      </c>
    </row>
    <row r="3" spans="1:8" x14ac:dyDescent="0.2">
      <c r="B3" t="s">
        <v>95</v>
      </c>
      <c r="C3" s="66">
        <v>56000</v>
      </c>
      <c r="D3" s="65">
        <f>IFERROR(C3/$C$6,0)</f>
        <v>0.45528455284552843</v>
      </c>
      <c r="E3" s="46">
        <f>IFERROR(D3*$E$6,0)</f>
        <v>4461788.6178861782</v>
      </c>
      <c r="F3" s="54">
        <f>E3/100</f>
        <v>44617.88617886178</v>
      </c>
      <c r="G3">
        <v>0</v>
      </c>
      <c r="H3" s="49">
        <f>G3*F3</f>
        <v>0</v>
      </c>
    </row>
    <row r="4" spans="1:8" x14ac:dyDescent="0.2">
      <c r="B4" t="s">
        <v>96</v>
      </c>
      <c r="C4" s="66">
        <v>65000</v>
      </c>
      <c r="D4" s="65">
        <f>IFERROR(C4/$C$6,0)</f>
        <v>0.52845528455284552</v>
      </c>
      <c r="E4" s="46">
        <f>IFERROR(D4*$E$6,0)</f>
        <v>5178861.7886178857</v>
      </c>
      <c r="F4" s="54">
        <f>E4/100</f>
        <v>51788.617886178858</v>
      </c>
      <c r="G4">
        <v>8</v>
      </c>
      <c r="H4" s="49">
        <f>G4*F4</f>
        <v>414308.94308943086</v>
      </c>
    </row>
    <row r="5" spans="1:8" x14ac:dyDescent="0.2">
      <c r="B5" t="s">
        <v>97</v>
      </c>
      <c r="C5" s="66">
        <v>2000</v>
      </c>
      <c r="D5" s="65">
        <f>IFERROR(C5/$C$6,0)</f>
        <v>1.6260162601626018E-2</v>
      </c>
      <c r="E5" s="46">
        <f>IFERROR(D5*$E$6,0)</f>
        <v>159349.59349593497</v>
      </c>
      <c r="F5" s="54">
        <f>E5/100</f>
        <v>1593.4959349593496</v>
      </c>
      <c r="G5">
        <v>5</v>
      </c>
      <c r="H5" s="49">
        <f>G5*F5</f>
        <v>7967.4796747967484</v>
      </c>
    </row>
    <row r="6" spans="1:8" ht="12" thickBot="1" x14ac:dyDescent="0.25">
      <c r="B6" s="56" t="s">
        <v>43</v>
      </c>
      <c r="C6" s="48">
        <f>SUM(C3:C5)</f>
        <v>123000</v>
      </c>
      <c r="D6" s="68">
        <f>IFERROR(C6/$C$6,0)</f>
        <v>1</v>
      </c>
      <c r="E6" s="69">
        <f>SUMPRODUCT(B11:B12,C11:C12)</f>
        <v>9800000</v>
      </c>
      <c r="F6" s="70"/>
      <c r="G6" s="48">
        <f>SUM(G3:G5)</f>
        <v>13</v>
      </c>
      <c r="H6" s="48">
        <f>SUM(H3:H5)</f>
        <v>422276.42276422761</v>
      </c>
    </row>
    <row r="9" spans="1:8" x14ac:dyDescent="0.2">
      <c r="B9" s="1" t="s">
        <v>102</v>
      </c>
    </row>
    <row r="10" spans="1:8" x14ac:dyDescent="0.2">
      <c r="B10" s="67" t="s">
        <v>99</v>
      </c>
      <c r="C10" s="67" t="s">
        <v>100</v>
      </c>
    </row>
    <row r="11" spans="1:8" x14ac:dyDescent="0.2">
      <c r="A11" t="s">
        <v>95</v>
      </c>
      <c r="B11" s="66">
        <v>100</v>
      </c>
      <c r="C11" s="66">
        <v>74000</v>
      </c>
    </row>
    <row r="12" spans="1:8" x14ac:dyDescent="0.2">
      <c r="A12" t="s">
        <v>101</v>
      </c>
      <c r="B12" s="66">
        <v>100</v>
      </c>
      <c r="C12" s="66">
        <v>24000</v>
      </c>
    </row>
    <row r="21" spans="1:8" x14ac:dyDescent="0.2">
      <c r="A21" s="64" t="s">
        <v>108</v>
      </c>
      <c r="B21" s="64" t="s">
        <v>0</v>
      </c>
      <c r="C21" s="64" t="s">
        <v>112</v>
      </c>
      <c r="D21" s="64"/>
      <c r="E21" s="64" t="s">
        <v>113</v>
      </c>
      <c r="F21" s="64" t="s">
        <v>114</v>
      </c>
    </row>
    <row r="22" spans="1:8" x14ac:dyDescent="0.2">
      <c r="A22">
        <v>0</v>
      </c>
      <c r="B22" t="s">
        <v>109</v>
      </c>
      <c r="C22">
        <v>100000</v>
      </c>
      <c r="D22" s="13"/>
      <c r="E22">
        <v>1</v>
      </c>
      <c r="F22">
        <f>C22*E22</f>
        <v>100000</v>
      </c>
    </row>
    <row r="23" spans="1:8" x14ac:dyDescent="0.2">
      <c r="A23">
        <v>1</v>
      </c>
      <c r="B23" t="s">
        <v>110</v>
      </c>
      <c r="C23">
        <v>170000</v>
      </c>
      <c r="D23" s="13"/>
      <c r="E23">
        <v>0.89300000000000002</v>
      </c>
      <c r="F23">
        <f>C23*E23</f>
        <v>151810</v>
      </c>
    </row>
    <row r="24" spans="1:8" x14ac:dyDescent="0.2">
      <c r="A24">
        <v>2</v>
      </c>
      <c r="B24" t="s">
        <v>111</v>
      </c>
      <c r="C24">
        <v>170000</v>
      </c>
      <c r="D24" s="13"/>
      <c r="E24">
        <v>0.79700000000000004</v>
      </c>
      <c r="F24">
        <f>C24*E24</f>
        <v>135490</v>
      </c>
    </row>
    <row r="25" spans="1:8" ht="12" thickBot="1" x14ac:dyDescent="0.25">
      <c r="A25" s="71"/>
      <c r="B25" s="71"/>
      <c r="C25" s="71"/>
      <c r="D25" s="71"/>
      <c r="E25" s="56" t="s">
        <v>115</v>
      </c>
      <c r="F25" s="56">
        <f>SUM(F22:F24)</f>
        <v>387300</v>
      </c>
    </row>
    <row r="27" spans="1:8" x14ac:dyDescent="0.2">
      <c r="B27" s="1"/>
    </row>
    <row r="28" spans="1:8" ht="22.5" customHeight="1" x14ac:dyDescent="0.2">
      <c r="A28" s="64" t="s">
        <v>108</v>
      </c>
      <c r="B28" s="64" t="s">
        <v>0</v>
      </c>
      <c r="C28" s="64" t="s">
        <v>106</v>
      </c>
      <c r="D28" s="64"/>
      <c r="E28" s="64" t="s">
        <v>107</v>
      </c>
      <c r="F28" s="64" t="s">
        <v>117</v>
      </c>
      <c r="G28" s="64" t="s">
        <v>116</v>
      </c>
      <c r="H28" s="64" t="s">
        <v>118</v>
      </c>
    </row>
    <row r="29" spans="1:8" x14ac:dyDescent="0.2">
      <c r="A29">
        <v>0</v>
      </c>
      <c r="B29" t="s">
        <v>109</v>
      </c>
      <c r="C29" s="66">
        <f>F25</f>
        <v>387300</v>
      </c>
      <c r="D29" s="13"/>
      <c r="E29">
        <f>-C22</f>
        <v>-100000</v>
      </c>
      <c r="F29" s="72" t="s">
        <v>119</v>
      </c>
      <c r="G29" s="49">
        <f>IFERROR(E29+F29,E29)</f>
        <v>-100000</v>
      </c>
      <c r="H29" s="49">
        <f>C29+G29</f>
        <v>287300</v>
      </c>
    </row>
    <row r="30" spans="1:8" x14ac:dyDescent="0.2">
      <c r="A30">
        <v>1</v>
      </c>
      <c r="B30" t="s">
        <v>110</v>
      </c>
      <c r="C30" s="49">
        <f>H29</f>
        <v>287300</v>
      </c>
      <c r="D30" s="13"/>
      <c r="E30">
        <f>-C23</f>
        <v>-170000</v>
      </c>
      <c r="F30" s="54">
        <f>C30*0.12</f>
        <v>34476</v>
      </c>
      <c r="G30" s="49">
        <f>IFERROR(E30+F30,E30)</f>
        <v>-135524</v>
      </c>
      <c r="H30" s="49">
        <f>C30+G30</f>
        <v>151776</v>
      </c>
    </row>
    <row r="31" spans="1:8" x14ac:dyDescent="0.2">
      <c r="A31">
        <v>2</v>
      </c>
      <c r="B31" t="s">
        <v>111</v>
      </c>
      <c r="C31" s="49">
        <f>H30</f>
        <v>151776</v>
      </c>
      <c r="D31" s="13"/>
      <c r="E31">
        <f t="shared" ref="E31" si="0">-C24</f>
        <v>-170000</v>
      </c>
      <c r="F31" s="54">
        <f>C31*0.12</f>
        <v>18213.12</v>
      </c>
      <c r="G31" s="49">
        <f>IFERROR(E31+F31,E31)</f>
        <v>-151786.88</v>
      </c>
      <c r="H31" s="49">
        <v>0</v>
      </c>
    </row>
    <row r="32" spans="1:8" x14ac:dyDescent="0.2">
      <c r="C32" s="49"/>
      <c r="D32" s="13"/>
      <c r="F32" s="54"/>
      <c r="G32" s="49"/>
      <c r="H32" s="49"/>
    </row>
    <row r="33" spans="1:8" x14ac:dyDescent="0.2">
      <c r="B33" s="1" t="s">
        <v>130</v>
      </c>
      <c r="C33" s="49"/>
      <c r="D33" s="13"/>
      <c r="F33" s="54"/>
      <c r="G33" s="49"/>
      <c r="H33" s="49"/>
    </row>
    <row r="34" spans="1:8" x14ac:dyDescent="0.2">
      <c r="B34" t="s">
        <v>115</v>
      </c>
      <c r="C34" s="49">
        <f>C29</f>
        <v>387300</v>
      </c>
      <c r="D34" s="13"/>
      <c r="F34" s="54"/>
      <c r="G34" s="49"/>
      <c r="H34" s="49"/>
    </row>
    <row r="35" spans="1:8" x14ac:dyDescent="0.2">
      <c r="B35" t="s">
        <v>132</v>
      </c>
      <c r="C35" s="49">
        <f>D47</f>
        <v>10000</v>
      </c>
      <c r="D35" s="13"/>
      <c r="F35" s="54"/>
      <c r="G35" s="49"/>
      <c r="H35" s="49"/>
    </row>
    <row r="36" spans="1:8" ht="12" thickBot="1" x14ac:dyDescent="0.25">
      <c r="B36" s="55" t="s">
        <v>131</v>
      </c>
      <c r="C36" s="50">
        <f>SUM(C34:C35)</f>
        <v>397300</v>
      </c>
    </row>
    <row r="37" spans="1:8" x14ac:dyDescent="0.2">
      <c r="B37" s="87" t="s">
        <v>133</v>
      </c>
      <c r="C37" s="86">
        <v>8</v>
      </c>
    </row>
    <row r="38" spans="1:8" ht="12" thickBot="1" x14ac:dyDescent="0.25">
      <c r="B38" s="55" t="s">
        <v>134</v>
      </c>
      <c r="C38" s="50">
        <f>C36/C37</f>
        <v>49662.5</v>
      </c>
    </row>
    <row r="39" spans="1:8" ht="12" thickBot="1" x14ac:dyDescent="0.25"/>
    <row r="40" spans="1:8" x14ac:dyDescent="0.2">
      <c r="A40" s="85" t="s">
        <v>125</v>
      </c>
      <c r="B40" s="74"/>
      <c r="C40" s="74"/>
      <c r="D40" s="74"/>
      <c r="E40" s="74"/>
      <c r="F40" s="75"/>
    </row>
    <row r="41" spans="1:8" x14ac:dyDescent="0.2">
      <c r="A41" s="76">
        <v>1</v>
      </c>
      <c r="B41" s="4" t="s">
        <v>0</v>
      </c>
      <c r="C41" s="4" t="s">
        <v>1</v>
      </c>
      <c r="D41" s="4" t="s">
        <v>2</v>
      </c>
      <c r="E41" s="4" t="s">
        <v>3</v>
      </c>
      <c r="F41" s="77"/>
    </row>
    <row r="42" spans="1:8" x14ac:dyDescent="0.2">
      <c r="A42" s="78"/>
      <c r="B42" s="7" t="str">
        <f>B29</f>
        <v>01.10.20x7</v>
      </c>
      <c r="C42" s="2" t="s">
        <v>120</v>
      </c>
      <c r="D42" s="73">
        <f>C29</f>
        <v>387300</v>
      </c>
      <c r="E42" s="2"/>
      <c r="F42" s="77"/>
    </row>
    <row r="43" spans="1:8" x14ac:dyDescent="0.2">
      <c r="A43" s="78"/>
      <c r="B43" s="2"/>
      <c r="C43" s="2" t="s">
        <v>121</v>
      </c>
      <c r="D43" s="2"/>
      <c r="E43" s="73">
        <f>D42</f>
        <v>387300</v>
      </c>
      <c r="F43" s="77"/>
    </row>
    <row r="44" spans="1:8" x14ac:dyDescent="0.2">
      <c r="A44" s="78"/>
      <c r="B44" s="79" t="s">
        <v>122</v>
      </c>
      <c r="C44" s="44"/>
      <c r="D44" s="44"/>
      <c r="E44" s="44"/>
      <c r="F44" s="77"/>
    </row>
    <row r="45" spans="1:8" x14ac:dyDescent="0.2">
      <c r="A45" s="80"/>
      <c r="B45" s="44"/>
      <c r="C45" s="44"/>
      <c r="D45" s="44"/>
      <c r="E45" s="44"/>
      <c r="F45" s="77"/>
    </row>
    <row r="46" spans="1:8" x14ac:dyDescent="0.2">
      <c r="A46" s="76">
        <v>2</v>
      </c>
      <c r="B46" s="4" t="s">
        <v>0</v>
      </c>
      <c r="C46" s="4" t="s">
        <v>1</v>
      </c>
      <c r="D46" s="4" t="s">
        <v>2</v>
      </c>
      <c r="E46" s="4" t="s">
        <v>3</v>
      </c>
      <c r="F46" s="77"/>
    </row>
    <row r="47" spans="1:8" x14ac:dyDescent="0.2">
      <c r="A47" s="78"/>
      <c r="B47" s="7" t="str">
        <f>B42</f>
        <v>01.10.20x7</v>
      </c>
      <c r="C47" s="2" t="s">
        <v>120</v>
      </c>
      <c r="D47" s="73">
        <f>E48</f>
        <v>10000</v>
      </c>
      <c r="E47" s="2"/>
      <c r="F47" s="77"/>
    </row>
    <row r="48" spans="1:8" x14ac:dyDescent="0.2">
      <c r="A48" s="78"/>
      <c r="B48" s="2"/>
      <c r="C48" s="2" t="s">
        <v>6</v>
      </c>
      <c r="D48" s="2"/>
      <c r="E48" s="73">
        <v>10000</v>
      </c>
      <c r="F48" s="77"/>
    </row>
    <row r="49" spans="1:6" x14ac:dyDescent="0.2">
      <c r="A49" s="78"/>
      <c r="B49" s="79" t="s">
        <v>123</v>
      </c>
      <c r="C49" s="44"/>
      <c r="D49" s="44"/>
      <c r="E49" s="44"/>
      <c r="F49" s="77"/>
    </row>
    <row r="50" spans="1:6" x14ac:dyDescent="0.2">
      <c r="A50" s="80"/>
      <c r="B50" s="44"/>
      <c r="C50" s="44"/>
      <c r="D50" s="44"/>
      <c r="E50" s="44"/>
      <c r="F50" s="77"/>
    </row>
    <row r="51" spans="1:6" x14ac:dyDescent="0.2">
      <c r="A51" s="76">
        <v>3</v>
      </c>
      <c r="B51" s="4" t="s">
        <v>0</v>
      </c>
      <c r="C51" s="4" t="s">
        <v>1</v>
      </c>
      <c r="D51" s="4" t="s">
        <v>2</v>
      </c>
      <c r="E51" s="4" t="s">
        <v>3</v>
      </c>
      <c r="F51" s="77"/>
    </row>
    <row r="52" spans="1:6" x14ac:dyDescent="0.2">
      <c r="A52" s="78"/>
      <c r="B52" s="7" t="str">
        <f>B47</f>
        <v>01.10.20x7</v>
      </c>
      <c r="C52" s="2" t="s">
        <v>124</v>
      </c>
      <c r="D52" s="73">
        <f>C22</f>
        <v>100000</v>
      </c>
      <c r="E52" s="2"/>
      <c r="F52" s="77"/>
    </row>
    <row r="53" spans="1:6" x14ac:dyDescent="0.2">
      <c r="A53" s="78"/>
      <c r="B53" s="2"/>
      <c r="C53" s="2" t="s">
        <v>6</v>
      </c>
      <c r="D53" s="2"/>
      <c r="E53" s="73">
        <f>D52</f>
        <v>100000</v>
      </c>
      <c r="F53" s="77"/>
    </row>
    <row r="54" spans="1:6" x14ac:dyDescent="0.2">
      <c r="A54" s="78"/>
      <c r="B54" s="79" t="s">
        <v>127</v>
      </c>
      <c r="C54" s="44"/>
      <c r="D54" s="44"/>
      <c r="E54" s="44"/>
      <c r="F54" s="77"/>
    </row>
    <row r="55" spans="1:6" ht="12" thickBot="1" x14ac:dyDescent="0.25">
      <c r="A55" s="81"/>
      <c r="B55" s="82"/>
      <c r="C55" s="82"/>
      <c r="D55" s="82"/>
      <c r="E55" s="82"/>
      <c r="F55" s="83"/>
    </row>
    <row r="56" spans="1:6" x14ac:dyDescent="0.2">
      <c r="A56" s="85" t="s">
        <v>126</v>
      </c>
      <c r="B56" s="74"/>
      <c r="C56" s="74"/>
      <c r="D56" s="74"/>
      <c r="E56" s="74"/>
      <c r="F56" s="75"/>
    </row>
    <row r="57" spans="1:6" x14ac:dyDescent="0.2">
      <c r="A57" s="76">
        <v>4</v>
      </c>
      <c r="B57" s="4" t="s">
        <v>0</v>
      </c>
      <c r="C57" s="4" t="s">
        <v>1</v>
      </c>
      <c r="D57" s="4" t="s">
        <v>2</v>
      </c>
      <c r="E57" s="4" t="s">
        <v>3</v>
      </c>
      <c r="F57" s="77"/>
    </row>
    <row r="58" spans="1:6" x14ac:dyDescent="0.2">
      <c r="A58" s="78"/>
      <c r="B58" s="7" t="s">
        <v>128</v>
      </c>
      <c r="C58" s="2" t="s">
        <v>86</v>
      </c>
      <c r="D58" s="73">
        <f>C38</f>
        <v>49662.5</v>
      </c>
      <c r="E58" s="2"/>
      <c r="F58" s="77"/>
    </row>
    <row r="59" spans="1:6" x14ac:dyDescent="0.2">
      <c r="A59" s="78"/>
      <c r="B59" s="2"/>
      <c r="C59" s="2" t="s">
        <v>129</v>
      </c>
      <c r="D59" s="2"/>
      <c r="E59" s="73">
        <f>D58</f>
        <v>49662.5</v>
      </c>
      <c r="F59" s="77"/>
    </row>
    <row r="60" spans="1:6" x14ac:dyDescent="0.2">
      <c r="A60" s="78"/>
      <c r="B60" s="79" t="s">
        <v>122</v>
      </c>
      <c r="C60" s="44"/>
      <c r="D60" s="44"/>
      <c r="E60" s="44"/>
      <c r="F60" s="77"/>
    </row>
    <row r="61" spans="1:6" x14ac:dyDescent="0.2">
      <c r="A61" s="80"/>
      <c r="B61" s="44"/>
      <c r="C61" s="44"/>
      <c r="D61" s="44"/>
      <c r="E61" s="44"/>
      <c r="F61" s="77"/>
    </row>
    <row r="62" spans="1:6" x14ac:dyDescent="0.2">
      <c r="A62" s="76">
        <v>5</v>
      </c>
      <c r="B62" s="4" t="s">
        <v>0</v>
      </c>
      <c r="C62" s="4" t="s">
        <v>1</v>
      </c>
      <c r="D62" s="4" t="s">
        <v>2</v>
      </c>
      <c r="E62" s="4" t="s">
        <v>3</v>
      </c>
      <c r="F62" s="77"/>
    </row>
    <row r="63" spans="1:6" x14ac:dyDescent="0.2">
      <c r="A63" s="78"/>
      <c r="B63" s="7" t="str">
        <f>B58</f>
        <v>30/09/20x8</v>
      </c>
      <c r="C63" s="2" t="s">
        <v>135</v>
      </c>
      <c r="D63" s="73">
        <f>-G30</f>
        <v>135524</v>
      </c>
      <c r="E63" s="2"/>
      <c r="F63" s="77"/>
    </row>
    <row r="64" spans="1:6" x14ac:dyDescent="0.2">
      <c r="A64" s="78"/>
      <c r="B64" s="7"/>
      <c r="C64" s="2" t="s">
        <v>136</v>
      </c>
      <c r="D64" s="73">
        <f>F30</f>
        <v>34476</v>
      </c>
      <c r="E64" s="2"/>
      <c r="F64" s="77"/>
    </row>
    <row r="65" spans="1:6" x14ac:dyDescent="0.2">
      <c r="A65" s="78"/>
      <c r="B65" s="2"/>
      <c r="C65" s="2" t="s">
        <v>6</v>
      </c>
      <c r="D65" s="2"/>
      <c r="E65" s="73">
        <f>SUM(D63:D64)</f>
        <v>170000</v>
      </c>
      <c r="F65" s="77"/>
    </row>
    <row r="66" spans="1:6" x14ac:dyDescent="0.2">
      <c r="A66" s="78"/>
      <c r="B66" s="79" t="s">
        <v>123</v>
      </c>
      <c r="C66" s="44"/>
      <c r="D66" s="44"/>
      <c r="E66" s="44"/>
      <c r="F66" s="77"/>
    </row>
    <row r="67" spans="1:6" x14ac:dyDescent="0.2">
      <c r="A67" s="80"/>
      <c r="B67" s="44"/>
      <c r="C67" s="44"/>
      <c r="D67" s="44"/>
      <c r="E67" s="44"/>
      <c r="F67" s="77"/>
    </row>
    <row r="68" spans="1:6" x14ac:dyDescent="0.2">
      <c r="A68" s="76">
        <v>6</v>
      </c>
      <c r="B68" s="4" t="s">
        <v>0</v>
      </c>
      <c r="C68" s="4" t="s">
        <v>1</v>
      </c>
      <c r="D68" s="4" t="s">
        <v>2</v>
      </c>
      <c r="E68" s="4" t="s">
        <v>3</v>
      </c>
      <c r="F68" s="77"/>
    </row>
    <row r="69" spans="1:6" x14ac:dyDescent="0.2">
      <c r="A69" s="78"/>
      <c r="B69" s="7" t="str">
        <f>B63</f>
        <v>30/09/20x8</v>
      </c>
      <c r="C69" s="2" t="s">
        <v>137</v>
      </c>
      <c r="D69" s="73">
        <f>C81</f>
        <v>58758.45</v>
      </c>
      <c r="E69" s="2"/>
      <c r="F69" s="77"/>
    </row>
    <row r="70" spans="1:6" x14ac:dyDescent="0.2">
      <c r="A70" s="78"/>
      <c r="B70" s="2"/>
      <c r="C70" s="2" t="s">
        <v>138</v>
      </c>
      <c r="D70" s="2"/>
      <c r="E70" s="73">
        <f>D69</f>
        <v>58758.45</v>
      </c>
      <c r="F70" s="77"/>
    </row>
    <row r="71" spans="1:6" x14ac:dyDescent="0.2">
      <c r="A71" s="78"/>
      <c r="B71" s="79" t="s">
        <v>123</v>
      </c>
      <c r="C71" s="44"/>
      <c r="D71" s="44"/>
      <c r="E71" s="44"/>
      <c r="F71" s="77"/>
    </row>
    <row r="72" spans="1:6" ht="12" thickBot="1" x14ac:dyDescent="0.25">
      <c r="A72" s="81"/>
      <c r="B72" s="82"/>
      <c r="C72" s="82"/>
      <c r="D72" s="82"/>
      <c r="E72" s="82"/>
      <c r="F72" s="83"/>
    </row>
    <row r="75" spans="1:6" x14ac:dyDescent="0.2">
      <c r="A75" s="1" t="s">
        <v>139</v>
      </c>
    </row>
    <row r="76" spans="1:6" x14ac:dyDescent="0.2">
      <c r="A76" t="s">
        <v>140</v>
      </c>
      <c r="C76" s="49">
        <f>C36-C38</f>
        <v>347637.5</v>
      </c>
    </row>
    <row r="77" spans="1:6" x14ac:dyDescent="0.2">
      <c r="A77" t="s">
        <v>141</v>
      </c>
      <c r="C77" s="49">
        <f>-H30</f>
        <v>-151776</v>
      </c>
    </row>
    <row r="78" spans="1:6" ht="12" thickBot="1" x14ac:dyDescent="0.25">
      <c r="A78" s="56" t="s">
        <v>142</v>
      </c>
      <c r="B78" s="56"/>
      <c r="C78" s="50">
        <f>SUM(C76:C77)</f>
        <v>195861.5</v>
      </c>
    </row>
    <row r="79" spans="1:6" x14ac:dyDescent="0.2">
      <c r="A79" t="s">
        <v>143</v>
      </c>
      <c r="D79">
        <v>0</v>
      </c>
    </row>
    <row r="80" spans="1:6" ht="12" thickBot="1" x14ac:dyDescent="0.25">
      <c r="A80" s="56" t="s">
        <v>144</v>
      </c>
      <c r="B80" s="56"/>
      <c r="C80" s="50">
        <f>C78-D79</f>
        <v>195861.5</v>
      </c>
    </row>
    <row r="81" spans="1:3" ht="12" thickBot="1" x14ac:dyDescent="0.25">
      <c r="A81" s="56" t="s">
        <v>138</v>
      </c>
      <c r="C81" s="54">
        <f>C80*0.3</f>
        <v>58758.45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FDE4E-1B43-4E32-9F80-1BBA277C9103}">
  <dimension ref="A1:E56"/>
  <sheetViews>
    <sheetView tabSelected="1" topLeftCell="A45" zoomScale="190" zoomScaleNormal="190" workbookViewId="0">
      <selection activeCell="D58" sqref="D58"/>
    </sheetView>
  </sheetViews>
  <sheetFormatPr defaultRowHeight="11.25" x14ac:dyDescent="0.2"/>
  <cols>
    <col min="2" max="2" width="11" customWidth="1"/>
    <col min="3" max="3" width="17" style="46" customWidth="1"/>
  </cols>
  <sheetData>
    <row r="1" spans="1:5" ht="12" thickBot="1" x14ac:dyDescent="0.25"/>
    <row r="2" spans="1:5" x14ac:dyDescent="0.2">
      <c r="A2" s="84">
        <v>1</v>
      </c>
      <c r="B2" s="88" t="s">
        <v>145</v>
      </c>
      <c r="C2" s="89">
        <v>3000000</v>
      </c>
      <c r="D2" s="74"/>
      <c r="E2" s="75"/>
    </row>
    <row r="3" spans="1:5" x14ac:dyDescent="0.2">
      <c r="A3" s="80"/>
      <c r="B3" s="90" t="s">
        <v>146</v>
      </c>
      <c r="C3" s="91">
        <v>0.6</v>
      </c>
      <c r="D3" s="44"/>
      <c r="E3" s="77"/>
    </row>
    <row r="4" spans="1:5" x14ac:dyDescent="0.2">
      <c r="A4" s="80"/>
      <c r="B4" s="90" t="s">
        <v>147</v>
      </c>
      <c r="C4" s="92">
        <f>C2*C3</f>
        <v>1800000</v>
      </c>
      <c r="D4" s="44"/>
      <c r="E4" s="77"/>
    </row>
    <row r="5" spans="1:5" x14ac:dyDescent="0.2">
      <c r="A5" s="80"/>
      <c r="B5" s="90" t="s">
        <v>148</v>
      </c>
      <c r="C5" s="92">
        <f>C4*1.8*2</f>
        <v>6480000</v>
      </c>
      <c r="D5" s="44"/>
      <c r="E5" s="77"/>
    </row>
    <row r="6" spans="1:5" x14ac:dyDescent="0.2">
      <c r="A6" s="80"/>
      <c r="B6" s="44"/>
      <c r="C6" s="92"/>
      <c r="D6" s="44"/>
      <c r="E6" s="77"/>
    </row>
    <row r="7" spans="1:5" x14ac:dyDescent="0.2">
      <c r="A7" s="93">
        <v>2</v>
      </c>
      <c r="B7" s="90" t="s">
        <v>149</v>
      </c>
      <c r="C7" s="92"/>
      <c r="D7" s="44"/>
      <c r="E7" s="77"/>
    </row>
    <row r="8" spans="1:5" x14ac:dyDescent="0.2">
      <c r="A8" s="80"/>
      <c r="B8" s="44"/>
      <c r="C8" s="92"/>
      <c r="D8" s="44"/>
      <c r="E8" s="77"/>
    </row>
    <row r="9" spans="1:5" x14ac:dyDescent="0.2">
      <c r="A9" s="93">
        <v>3</v>
      </c>
      <c r="B9" s="90" t="s">
        <v>150</v>
      </c>
      <c r="C9" s="92">
        <v>11710000</v>
      </c>
      <c r="D9" s="44"/>
      <c r="E9" s="77"/>
    </row>
    <row r="10" spans="1:5" x14ac:dyDescent="0.2">
      <c r="A10" s="80"/>
      <c r="B10" s="90" t="s">
        <v>151</v>
      </c>
      <c r="C10" s="91">
        <v>0.4</v>
      </c>
      <c r="D10" s="44"/>
      <c r="E10" s="77"/>
    </row>
    <row r="11" spans="1:5" x14ac:dyDescent="0.2">
      <c r="A11" s="80"/>
      <c r="B11" s="90" t="s">
        <v>152</v>
      </c>
      <c r="C11" s="92">
        <f>C9*C10</f>
        <v>4684000</v>
      </c>
      <c r="D11" s="44"/>
      <c r="E11" s="77"/>
    </row>
    <row r="12" spans="1:5" x14ac:dyDescent="0.2">
      <c r="A12" s="80"/>
      <c r="B12" s="44"/>
      <c r="C12" s="92"/>
      <c r="D12" s="44"/>
      <c r="E12" s="77"/>
    </row>
    <row r="13" spans="1:5" x14ac:dyDescent="0.2">
      <c r="A13" s="93">
        <v>4</v>
      </c>
      <c r="B13" s="90" t="s">
        <v>153</v>
      </c>
      <c r="C13" s="92"/>
      <c r="D13" s="44"/>
      <c r="E13" s="77"/>
    </row>
    <row r="14" spans="1:5" x14ac:dyDescent="0.2">
      <c r="A14" s="80"/>
      <c r="B14" s="44"/>
      <c r="C14" s="92"/>
      <c r="D14" s="44"/>
      <c r="E14" s="77"/>
    </row>
    <row r="15" spans="1:5" x14ac:dyDescent="0.2">
      <c r="A15" s="93">
        <v>5</v>
      </c>
      <c r="B15" s="90" t="s">
        <v>154</v>
      </c>
      <c r="C15" s="92"/>
      <c r="D15" s="44"/>
      <c r="E15" s="77"/>
    </row>
    <row r="16" spans="1:5" x14ac:dyDescent="0.2">
      <c r="A16" s="80"/>
      <c r="B16" s="44">
        <f>500000*0.7</f>
        <v>350000</v>
      </c>
      <c r="C16" s="92"/>
      <c r="D16" s="44"/>
      <c r="E16" s="77"/>
    </row>
    <row r="17" spans="1:5" x14ac:dyDescent="0.2">
      <c r="A17" s="80"/>
      <c r="B17" s="44"/>
      <c r="C17" s="92"/>
      <c r="D17" s="44"/>
      <c r="E17" s="77"/>
    </row>
    <row r="18" spans="1:5" x14ac:dyDescent="0.2">
      <c r="A18" s="93">
        <v>6</v>
      </c>
      <c r="B18" s="90" t="s">
        <v>155</v>
      </c>
      <c r="C18" s="92"/>
      <c r="D18" s="44"/>
      <c r="E18" s="77"/>
    </row>
    <row r="19" spans="1:5" x14ac:dyDescent="0.2">
      <c r="A19" s="80"/>
      <c r="B19" s="44"/>
      <c r="C19" s="92"/>
      <c r="D19" s="44"/>
      <c r="E19" s="77"/>
    </row>
    <row r="20" spans="1:5" ht="12" thickBot="1" x14ac:dyDescent="0.25">
      <c r="A20" s="81"/>
      <c r="B20" s="82"/>
      <c r="C20" s="94"/>
      <c r="D20" s="82"/>
      <c r="E20" s="83"/>
    </row>
    <row r="22" spans="1:5" x14ac:dyDescent="0.2">
      <c r="A22" s="1" t="s">
        <v>156</v>
      </c>
    </row>
    <row r="25" spans="1:5" x14ac:dyDescent="0.2">
      <c r="A25" s="76">
        <v>1</v>
      </c>
      <c r="B25" s="4" t="s">
        <v>0</v>
      </c>
      <c r="C25" s="4" t="s">
        <v>1</v>
      </c>
      <c r="D25" s="4" t="s">
        <v>2</v>
      </c>
      <c r="E25" s="4" t="s">
        <v>3</v>
      </c>
    </row>
    <row r="26" spans="1:5" x14ac:dyDescent="0.2">
      <c r="A26" s="78"/>
      <c r="B26" s="7" t="s">
        <v>169</v>
      </c>
      <c r="C26" s="2" t="s">
        <v>157</v>
      </c>
      <c r="D26" s="73">
        <v>70000</v>
      </c>
      <c r="E26" s="2"/>
    </row>
    <row r="27" spans="1:5" x14ac:dyDescent="0.2">
      <c r="A27" s="78"/>
      <c r="B27" s="7"/>
      <c r="C27" s="2" t="s">
        <v>158</v>
      </c>
      <c r="D27" s="73"/>
      <c r="E27" s="73">
        <f>D26-E28</f>
        <v>20000</v>
      </c>
    </row>
    <row r="28" spans="1:5" x14ac:dyDescent="0.2">
      <c r="A28" s="78"/>
      <c r="B28" s="7"/>
      <c r="C28" s="2" t="s">
        <v>159</v>
      </c>
      <c r="D28" s="73"/>
      <c r="E28" s="2">
        <v>50000</v>
      </c>
    </row>
    <row r="29" spans="1:5" x14ac:dyDescent="0.2">
      <c r="A29" s="78"/>
      <c r="B29" s="7"/>
      <c r="C29" s="2" t="s">
        <v>160</v>
      </c>
      <c r="D29" s="73">
        <f>D26*0.3</f>
        <v>21000</v>
      </c>
      <c r="E29" s="2"/>
    </row>
    <row r="30" spans="1:5" x14ac:dyDescent="0.2">
      <c r="A30" s="78"/>
      <c r="B30" s="7"/>
      <c r="C30" s="2" t="s">
        <v>161</v>
      </c>
      <c r="D30" s="73"/>
      <c r="E30" s="73">
        <f>D29</f>
        <v>21000</v>
      </c>
    </row>
    <row r="31" spans="1:5" x14ac:dyDescent="0.2">
      <c r="A31" s="78"/>
      <c r="B31" s="79" t="s">
        <v>162</v>
      </c>
      <c r="C31" s="44"/>
      <c r="D31" s="44"/>
      <c r="E31" s="44"/>
    </row>
    <row r="33" spans="1:5" x14ac:dyDescent="0.2">
      <c r="A33" s="76">
        <v>2</v>
      </c>
      <c r="B33" s="4" t="s">
        <v>0</v>
      </c>
      <c r="C33" s="4" t="s">
        <v>1</v>
      </c>
      <c r="D33" s="4" t="s">
        <v>2</v>
      </c>
      <c r="E33" s="4" t="s">
        <v>3</v>
      </c>
    </row>
    <row r="34" spans="1:5" x14ac:dyDescent="0.2">
      <c r="A34" s="78"/>
      <c r="B34" s="7" t="s">
        <v>169</v>
      </c>
      <c r="C34" s="2" t="s">
        <v>163</v>
      </c>
      <c r="D34" s="73">
        <f>D43</f>
        <v>14000</v>
      </c>
      <c r="E34" s="2"/>
    </row>
    <row r="35" spans="1:5" x14ac:dyDescent="0.2">
      <c r="A35" s="78"/>
      <c r="B35" s="7"/>
      <c r="C35" s="2" t="s">
        <v>164</v>
      </c>
      <c r="D35" s="73"/>
      <c r="E35" s="73">
        <f>D34</f>
        <v>14000</v>
      </c>
    </row>
    <row r="36" spans="1:5" x14ac:dyDescent="0.2">
      <c r="A36" s="78"/>
      <c r="B36" s="7"/>
      <c r="C36" s="2" t="s">
        <v>137</v>
      </c>
      <c r="D36" s="73">
        <f>D34*0.3</f>
        <v>4200</v>
      </c>
      <c r="E36" s="2"/>
    </row>
    <row r="37" spans="1:5" x14ac:dyDescent="0.2">
      <c r="A37" s="78"/>
      <c r="B37" s="7"/>
      <c r="C37" s="2" t="s">
        <v>160</v>
      </c>
      <c r="D37" s="73"/>
      <c r="E37" s="73">
        <f>D36</f>
        <v>4200</v>
      </c>
    </row>
    <row r="38" spans="1:5" x14ac:dyDescent="0.2">
      <c r="B38" s="79" t="s">
        <v>165</v>
      </c>
    </row>
    <row r="40" spans="1:5" x14ac:dyDescent="0.2">
      <c r="B40" t="s">
        <v>166</v>
      </c>
      <c r="D40" s="46">
        <f>320000</f>
        <v>320000</v>
      </c>
    </row>
    <row r="41" spans="1:5" x14ac:dyDescent="0.2">
      <c r="B41" t="s">
        <v>167</v>
      </c>
      <c r="D41" s="49">
        <f>D40/40*8</f>
        <v>64000</v>
      </c>
    </row>
    <row r="42" spans="1:5" x14ac:dyDescent="0.2">
      <c r="B42" t="s">
        <v>168</v>
      </c>
      <c r="D42">
        <v>50000</v>
      </c>
    </row>
    <row r="43" spans="1:5" ht="12" thickBot="1" x14ac:dyDescent="0.25">
      <c r="D43" s="50">
        <f>D41-D42</f>
        <v>14000</v>
      </c>
    </row>
    <row r="45" spans="1:5" x14ac:dyDescent="0.2">
      <c r="A45" s="76">
        <v>3</v>
      </c>
      <c r="B45" s="4" t="s">
        <v>0</v>
      </c>
      <c r="C45" s="4" t="s">
        <v>1</v>
      </c>
      <c r="D45" s="4" t="s">
        <v>2</v>
      </c>
      <c r="E45" s="4" t="s">
        <v>3</v>
      </c>
    </row>
    <row r="46" spans="1:5" x14ac:dyDescent="0.2">
      <c r="A46" s="78"/>
      <c r="B46" s="7" t="s">
        <v>169</v>
      </c>
      <c r="C46" s="2" t="s">
        <v>170</v>
      </c>
      <c r="D46" s="73">
        <v>200000</v>
      </c>
      <c r="E46" s="2"/>
    </row>
    <row r="47" spans="1:5" x14ac:dyDescent="0.2">
      <c r="A47" s="78"/>
      <c r="B47" s="7"/>
      <c r="C47" s="2" t="s">
        <v>171</v>
      </c>
      <c r="D47" s="73"/>
      <c r="E47" s="73">
        <f>D46</f>
        <v>200000</v>
      </c>
    </row>
    <row r="48" spans="1:5" x14ac:dyDescent="0.2">
      <c r="B48" s="79" t="s">
        <v>172</v>
      </c>
    </row>
    <row r="50" spans="1:5" x14ac:dyDescent="0.2">
      <c r="A50" s="76">
        <v>4</v>
      </c>
      <c r="B50" s="4" t="s">
        <v>0</v>
      </c>
      <c r="C50" s="4" t="s">
        <v>1</v>
      </c>
      <c r="D50" s="4" t="s">
        <v>2</v>
      </c>
      <c r="E50" s="4" t="s">
        <v>3</v>
      </c>
    </row>
    <row r="51" spans="1:5" x14ac:dyDescent="0.2">
      <c r="A51" s="78"/>
      <c r="B51" s="7" t="s">
        <v>169</v>
      </c>
      <c r="C51" s="2" t="s">
        <v>173</v>
      </c>
      <c r="D51" s="73">
        <v>500000</v>
      </c>
      <c r="E51" s="2"/>
    </row>
    <row r="52" spans="1:5" x14ac:dyDescent="0.2">
      <c r="A52" s="78"/>
      <c r="B52" s="7"/>
      <c r="C52" s="2" t="s">
        <v>174</v>
      </c>
      <c r="D52" s="73"/>
      <c r="E52" s="73">
        <v>500000</v>
      </c>
    </row>
    <row r="53" spans="1:5" x14ac:dyDescent="0.2">
      <c r="B53" s="79"/>
    </row>
    <row r="54" spans="1:5" x14ac:dyDescent="0.2">
      <c r="A54" s="76">
        <v>4</v>
      </c>
      <c r="B54" s="4" t="s">
        <v>0</v>
      </c>
      <c r="C54" s="4" t="s">
        <v>1</v>
      </c>
      <c r="D54" s="4" t="s">
        <v>2</v>
      </c>
      <c r="E54" s="4" t="s">
        <v>3</v>
      </c>
    </row>
    <row r="55" spans="1:5" x14ac:dyDescent="0.2">
      <c r="A55" s="78"/>
      <c r="B55" s="7" t="s">
        <v>169</v>
      </c>
      <c r="C55" s="2" t="s">
        <v>175</v>
      </c>
      <c r="D55" s="73">
        <v>10000</v>
      </c>
      <c r="E55" s="2"/>
    </row>
    <row r="56" spans="1:5" x14ac:dyDescent="0.2">
      <c r="A56" s="78"/>
      <c r="B56" s="7"/>
      <c r="C56" s="2" t="s">
        <v>176</v>
      </c>
      <c r="D56" s="73"/>
      <c r="E56" s="73"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Connell</dc:creator>
  <cp:lastModifiedBy>Max Connell</cp:lastModifiedBy>
  <dcterms:created xsi:type="dcterms:W3CDTF">2020-08-29T07:34:44Z</dcterms:created>
  <dcterms:modified xsi:type="dcterms:W3CDTF">2020-08-29T12:50:39Z</dcterms:modified>
</cp:coreProperties>
</file>