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.connell\Desktop\"/>
    </mc:Choice>
  </mc:AlternateContent>
  <xr:revisionPtr revIDLastSave="0" documentId="8_{13D16792-895C-4A07-B698-67ACAB9DCFA2}" xr6:coauthVersionLast="45" xr6:coauthVersionMax="45" xr10:uidLastSave="{00000000-0000-0000-0000-000000000000}"/>
  <bookViews>
    <workbookView xWindow="4185" yWindow="4185" windowWidth="21600" windowHeight="11265" activeTab="3" xr2:uid="{40B4DF28-799B-4554-A479-6E3AA9B2BF78}"/>
  </bookViews>
  <sheets>
    <sheet name="Q2a" sheetId="1" r:id="rId1"/>
    <sheet name="Q2b" sheetId="2" r:id="rId2"/>
    <sheet name="Q3" sheetId="3" r:id="rId3"/>
    <sheet name="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4" l="1"/>
  <c r="D53" i="4"/>
  <c r="E42" i="4"/>
  <c r="E40" i="4"/>
  <c r="D39" i="4"/>
  <c r="F5" i="4"/>
  <c r="F6" i="4"/>
  <c r="F7" i="4"/>
  <c r="F8" i="4"/>
  <c r="F4" i="4"/>
  <c r="E18" i="4" s="1"/>
  <c r="D17" i="4" s="1"/>
  <c r="C5" i="4"/>
  <c r="C6" i="4" s="1"/>
  <c r="C7" i="4" s="1"/>
  <c r="C8" i="4" s="1"/>
  <c r="B5" i="4"/>
  <c r="B6" i="4" s="1"/>
  <c r="B7" i="4" s="1"/>
  <c r="B8" i="4" s="1"/>
  <c r="G7" i="3"/>
  <c r="C7" i="3"/>
  <c r="D5" i="3" s="1"/>
  <c r="E5" i="3" s="1"/>
  <c r="G5" i="3" s="1"/>
  <c r="F14" i="2"/>
  <c r="F13" i="2"/>
  <c r="E12" i="2"/>
  <c r="G7" i="2"/>
  <c r="G4" i="2"/>
  <c r="F4" i="2"/>
  <c r="E4" i="2"/>
  <c r="C4" i="2"/>
  <c r="G3" i="2"/>
  <c r="C3" i="2"/>
  <c r="C15" i="1"/>
  <c r="C12" i="1"/>
  <c r="C11" i="1"/>
  <c r="C10" i="1"/>
  <c r="C7" i="1"/>
  <c r="C8" i="1" s="1"/>
  <c r="B25" i="1"/>
  <c r="B24" i="1"/>
  <c r="B23" i="1"/>
  <c r="B22" i="1"/>
  <c r="C61" i="1"/>
  <c r="C62" i="1" s="1"/>
  <c r="C25" i="1" s="1"/>
  <c r="C55" i="1"/>
  <c r="C53" i="1"/>
  <c r="C50" i="1"/>
  <c r="D49" i="1"/>
  <c r="D44" i="1"/>
  <c r="C45" i="1" s="1"/>
  <c r="C24" i="1" s="1"/>
  <c r="C39" i="1"/>
  <c r="C23" i="1" s="1"/>
  <c r="C34" i="1"/>
  <c r="C33" i="1"/>
  <c r="F9" i="4" l="1"/>
  <c r="D6" i="3"/>
  <c r="E6" i="3" s="1"/>
  <c r="D7" i="3"/>
  <c r="C35" i="1"/>
  <c r="C22" i="1" s="1"/>
  <c r="D26" i="1" s="1"/>
  <c r="C4" i="1" s="1"/>
  <c r="D26" i="4" l="1"/>
  <c r="E27" i="4" s="1"/>
  <c r="E13" i="4"/>
  <c r="D31" i="4"/>
  <c r="E32" i="4" s="1"/>
  <c r="D12" i="4"/>
</calcChain>
</file>

<file path=xl/sharedStrings.xml><?xml version="1.0" encoding="utf-8"?>
<sst xmlns="http://schemas.openxmlformats.org/spreadsheetml/2006/main" count="186" uniqueCount="124">
  <si>
    <t>Profit</t>
  </si>
  <si>
    <t>Other comprensive income</t>
  </si>
  <si>
    <t>Items that will not be reclassified to P&amp;L</t>
  </si>
  <si>
    <t>Items that may be reclassified subsequently to P&amp;L</t>
  </si>
  <si>
    <t>A</t>
  </si>
  <si>
    <t>B</t>
  </si>
  <si>
    <t>Other comprehensive income</t>
  </si>
  <si>
    <t>A+B</t>
  </si>
  <si>
    <t>Total Comprehensive income</t>
  </si>
  <si>
    <t>Total</t>
  </si>
  <si>
    <t>Cash flow heding - change in fair value</t>
  </si>
  <si>
    <t xml:space="preserve">  Adjsutments to Profit</t>
  </si>
  <si>
    <t>Draft NPAT</t>
  </si>
  <si>
    <t>Adjusted NPAT</t>
  </si>
  <si>
    <t>Adj 1</t>
  </si>
  <si>
    <t>FX</t>
  </si>
  <si>
    <t>Trade is a monetary item, needs ot be converted at spot rate at EOFY</t>
  </si>
  <si>
    <t>Initial recognisiton</t>
  </si>
  <si>
    <t>EOFY regocignition</t>
  </si>
  <si>
    <t>P&amp;L - revenue</t>
  </si>
  <si>
    <t>Adj 2</t>
  </si>
  <si>
    <t>Recognition for damages</t>
  </si>
  <si>
    <t>P&amp;L - expense</t>
  </si>
  <si>
    <t>Adj 3</t>
  </si>
  <si>
    <t>FX forward</t>
  </si>
  <si>
    <t>Cash flow hedge reserve (efffective portion)</t>
  </si>
  <si>
    <t>Dr</t>
  </si>
  <si>
    <t>CR</t>
  </si>
  <si>
    <t>Gain on hedgin instument (ineffective portion)</t>
  </si>
  <si>
    <t>Dr reval surplus</t>
  </si>
  <si>
    <t>CR Building</t>
  </si>
  <si>
    <t>OCI - revaluation reserve</t>
  </si>
  <si>
    <t>Adj 4</t>
  </si>
  <si>
    <t>Carrying Amount</t>
  </si>
  <si>
    <t>FVLCOD</t>
  </si>
  <si>
    <t>VIU</t>
  </si>
  <si>
    <t xml:space="preserve">Reverse out impairment loss of </t>
  </si>
  <si>
    <t>Carrying value at March 2017</t>
  </si>
  <si>
    <t>P&amp;L impact - reversal of impairment</t>
  </si>
  <si>
    <t>Adj 5</t>
  </si>
  <si>
    <t>Klima Limited</t>
  </si>
  <si>
    <t>Statement of comprehensive income for the year ended 31 MARc 20x7</t>
  </si>
  <si>
    <t>A$</t>
  </si>
  <si>
    <t>Revaluation of building</t>
  </si>
  <si>
    <t>Date</t>
  </si>
  <si>
    <t>O/B</t>
  </si>
  <si>
    <t>Principal repayments</t>
  </si>
  <si>
    <t>Interest Receipts</t>
  </si>
  <si>
    <t>Interest accrued (EIM)</t>
  </si>
  <si>
    <t>C/B</t>
  </si>
  <si>
    <t>Gain</t>
  </si>
  <si>
    <t>General Ledger</t>
  </si>
  <si>
    <t>Account Description</t>
  </si>
  <si>
    <t>Bond investment</t>
  </si>
  <si>
    <t>Interest Received</t>
  </si>
  <si>
    <t>Debits</t>
  </si>
  <si>
    <t>Credits</t>
  </si>
  <si>
    <t>FVTOCI Reserve</t>
  </si>
  <si>
    <t>Acocunt number</t>
  </si>
  <si>
    <t>1-100</t>
  </si>
  <si>
    <t>4-100</t>
  </si>
  <si>
    <t>4-200</t>
  </si>
  <si>
    <t>b/s</t>
  </si>
  <si>
    <t>PL</t>
  </si>
  <si>
    <t>Account balance</t>
  </si>
  <si>
    <t>Details</t>
  </si>
  <si>
    <t>Cr</t>
  </si>
  <si>
    <t>30/06/20x7</t>
  </si>
  <si>
    <t>Impairment loss</t>
  </si>
  <si>
    <t>FVTOCI reserve</t>
  </si>
  <si>
    <t>Performance Obligation</t>
  </si>
  <si>
    <t>Standalone</t>
  </si>
  <si>
    <t>% total</t>
  </si>
  <si>
    <t>Contract Allocation</t>
  </si>
  <si>
    <t>Performance Obligation Met?</t>
  </si>
  <si>
    <t>1. Non-variable consideration</t>
  </si>
  <si>
    <t>2. Variable consideration</t>
  </si>
  <si>
    <t xml:space="preserve"> </t>
  </si>
  <si>
    <t>Maintenance a/c - building 1</t>
  </si>
  <si>
    <t>Installation of a/c - building 2</t>
  </si>
  <si>
    <t>YES - but only for 3/12</t>
  </si>
  <si>
    <t>Revenue recognised</t>
  </si>
  <si>
    <t>No - not yet started</t>
  </si>
  <si>
    <t>Year</t>
  </si>
  <si>
    <t>Payment</t>
  </si>
  <si>
    <t>PV Cash Flow</t>
  </si>
  <si>
    <t>PVMLP</t>
  </si>
  <si>
    <t>Account</t>
  </si>
  <si>
    <t>Initial recorngiiton of lease asset and liability</t>
  </si>
  <si>
    <t>ROUA</t>
  </si>
  <si>
    <t>Lease liability</t>
  </si>
  <si>
    <t>01.07.x6</t>
  </si>
  <si>
    <t>Cash</t>
  </si>
  <si>
    <t>To recoird the l;ease payment made in advance</t>
  </si>
  <si>
    <t>Insurance exp</t>
  </si>
  <si>
    <t>To recoird the insurance paid</t>
  </si>
  <si>
    <t>Interest expense</t>
  </si>
  <si>
    <t>Lease Liability</t>
  </si>
  <si>
    <t>To record the leasee interest accrued</t>
  </si>
  <si>
    <t>30/06/20x6</t>
  </si>
  <si>
    <t>Depreciation exp</t>
  </si>
  <si>
    <t>Accum. Dep - ROUA</t>
  </si>
  <si>
    <t>Share Capital</t>
  </si>
  <si>
    <t>Retained Earnings</t>
  </si>
  <si>
    <t>Goodwill / (Gain on bargain purchase)</t>
  </si>
  <si>
    <t>Investment in snappy</t>
  </si>
  <si>
    <t>Sales</t>
  </si>
  <si>
    <t>Cost of Sales</t>
  </si>
  <si>
    <t>Cost of sale</t>
  </si>
  <si>
    <t>Inventory</t>
  </si>
  <si>
    <t>Intragroup sales'</t>
  </si>
  <si>
    <t>Unrealised profit on inventory sale</t>
  </si>
  <si>
    <t>DTA</t>
  </si>
  <si>
    <t>ITE</t>
  </si>
  <si>
    <t>Management fee</t>
  </si>
  <si>
    <t>Management fee expense</t>
  </si>
  <si>
    <t>Loan payable</t>
  </si>
  <si>
    <t>Loan receivable</t>
  </si>
  <si>
    <t>Intragroup sales</t>
  </si>
  <si>
    <t>Unrealised proifit in closing inventory</t>
  </si>
  <si>
    <t>Intragroup payable</t>
  </si>
  <si>
    <t>Impact on nCI</t>
  </si>
  <si>
    <t>Yes</t>
  </si>
  <si>
    <t>The partly owned subisdiary made the sale therefore the NCI is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</si>
</sst>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7" formatCode="#,##0_);\(#,##0\);\-_);@_)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3" fillId="0" borderId="2" xfId="0" applyFont="1" applyBorder="1" applyAlignment="1">
      <alignment horizontal="right"/>
    </xf>
    <xf numFmtId="0" fontId="0" fillId="0" borderId="4" xfId="0" applyBorder="1"/>
    <xf numFmtId="0" fontId="3" fillId="0" borderId="3" xfId="0" applyFont="1" applyBorder="1"/>
    <xf numFmtId="0" fontId="0" fillId="0" borderId="3" xfId="0" applyBorder="1"/>
    <xf numFmtId="0" fontId="0" fillId="0" borderId="6" xfId="0" applyBorder="1"/>
    <xf numFmtId="0" fontId="5" fillId="0" borderId="0" xfId="0" applyFont="1"/>
    <xf numFmtId="0" fontId="0" fillId="3" borderId="0" xfId="0" applyFill="1"/>
    <xf numFmtId="0" fontId="0" fillId="0" borderId="0" xfId="0" applyFont="1"/>
    <xf numFmtId="0" fontId="6" fillId="0" borderId="0" xfId="0" applyFont="1"/>
    <xf numFmtId="0" fontId="3" fillId="0" borderId="7" xfId="0" applyFont="1" applyBorder="1"/>
    <xf numFmtId="0" fontId="0" fillId="4" borderId="5" xfId="0" applyFill="1" applyBorder="1"/>
    <xf numFmtId="0" fontId="3" fillId="0" borderId="2" xfId="0" applyFont="1" applyBorder="1"/>
    <xf numFmtId="0" fontId="0" fillId="2" borderId="1" xfId="3" applyFont="1"/>
    <xf numFmtId="0" fontId="0" fillId="0" borderId="8" xfId="0" applyBorder="1"/>
    <xf numFmtId="0" fontId="3" fillId="0" borderId="8" xfId="0" applyFont="1" applyBorder="1"/>
    <xf numFmtId="0" fontId="3" fillId="0" borderId="5" xfId="0" applyFont="1" applyBorder="1"/>
    <xf numFmtId="0" fontId="3" fillId="4" borderId="5" xfId="0" applyFont="1" applyFill="1" applyBorder="1"/>
    <xf numFmtId="0" fontId="0" fillId="5" borderId="5" xfId="0" applyFill="1" applyBorder="1"/>
    <xf numFmtId="14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167" fontId="0" fillId="0" borderId="0" xfId="1" applyNumberFormat="1" applyFont="1"/>
    <xf numFmtId="167" fontId="0" fillId="2" borderId="1" xfId="1" applyNumberFormat="1" applyFont="1" applyFill="1" applyBorder="1"/>
    <xf numFmtId="167" fontId="3" fillId="0" borderId="5" xfId="1" applyNumberFormat="1" applyFont="1" applyBorder="1"/>
    <xf numFmtId="167" fontId="0" fillId="4" borderId="5" xfId="0" applyNumberFormat="1" applyFill="1" applyBorder="1"/>
    <xf numFmtId="6" fontId="3" fillId="0" borderId="0" xfId="0" quotePrefix="1" applyNumberFormat="1" applyFont="1" applyAlignment="1">
      <alignment horizontal="right"/>
    </xf>
    <xf numFmtId="0" fontId="0" fillId="5" borderId="0" xfId="0" applyFill="1"/>
    <xf numFmtId="167" fontId="0" fillId="0" borderId="5" xfId="0" applyNumberFormat="1" applyBorder="1"/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165" fontId="0" fillId="0" borderId="0" xfId="0" applyNumberFormat="1"/>
    <xf numFmtId="0" fontId="0" fillId="6" borderId="0" xfId="0" applyFill="1"/>
    <xf numFmtId="167" fontId="0" fillId="2" borderId="1" xfId="3" applyNumberFormat="1" applyFont="1"/>
    <xf numFmtId="9" fontId="0" fillId="0" borderId="0" xfId="2" applyFont="1"/>
    <xf numFmtId="9" fontId="0" fillId="0" borderId="5" xfId="2" applyFont="1" applyBorder="1"/>
    <xf numFmtId="0" fontId="0" fillId="2" borderId="9" xfId="3" applyFont="1" applyBorder="1"/>
    <xf numFmtId="167" fontId="3" fillId="0" borderId="5" xfId="0" applyNumberFormat="1" applyFont="1" applyBorder="1"/>
    <xf numFmtId="167" fontId="3" fillId="2" borderId="9" xfId="3" applyNumberFormat="1" applyFont="1" applyBorder="1"/>
    <xf numFmtId="43" fontId="0" fillId="0" borderId="0" xfId="0" applyNumberFormat="1"/>
    <xf numFmtId="0" fontId="3" fillId="6" borderId="0" xfId="0" applyFont="1" applyFill="1"/>
    <xf numFmtId="0" fontId="3" fillId="6" borderId="10" xfId="0" applyFont="1" applyFill="1" applyBorder="1"/>
    <xf numFmtId="0" fontId="3" fillId="0" borderId="10" xfId="0" applyFont="1" applyBorder="1"/>
    <xf numFmtId="0" fontId="0" fillId="0" borderId="10" xfId="0" applyBorder="1"/>
    <xf numFmtId="165" fontId="0" fillId="0" borderId="10" xfId="0" applyNumberFormat="1" applyBorder="1"/>
    <xf numFmtId="165" fontId="0" fillId="0" borderId="0" xfId="0" applyNumberFormat="1" applyFont="1"/>
    <xf numFmtId="0" fontId="0" fillId="7" borderId="0" xfId="0" applyFill="1"/>
    <xf numFmtId="0" fontId="3" fillId="7" borderId="0" xfId="0" applyFont="1" applyFill="1"/>
    <xf numFmtId="165" fontId="0" fillId="4" borderId="5" xfId="0" applyNumberFormat="1" applyFill="1" applyBorder="1"/>
    <xf numFmtId="0" fontId="2" fillId="7" borderId="0" xfId="0" applyFont="1" applyFill="1"/>
    <xf numFmtId="0" fontId="2" fillId="7" borderId="0" xfId="0" applyFont="1" applyFill="1" applyAlignment="1">
      <alignment horizontal="center" vertical="center"/>
    </xf>
    <xf numFmtId="0" fontId="0" fillId="4" borderId="0" xfId="0" applyFill="1"/>
  </cellXfs>
  <cellStyles count="4">
    <cellStyle name="Comma" xfId="1" builtinId="3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EDBBD-45FF-4EC7-BFD8-EFA7B185B09F}">
  <dimension ref="A1:D62"/>
  <sheetViews>
    <sheetView topLeftCell="B1" zoomScale="190" zoomScaleNormal="190" workbookViewId="0">
      <selection activeCell="B21" sqref="B21"/>
    </sheetView>
  </sheetViews>
  <sheetFormatPr defaultRowHeight="11.25" x14ac:dyDescent="0.2"/>
  <cols>
    <col min="1" max="1" width="9.33203125" style="3"/>
    <col min="2" max="2" width="42.83203125" customWidth="1"/>
    <col min="3" max="3" width="12.6640625" bestFit="1" customWidth="1"/>
    <col min="4" max="4" width="13.83203125" bestFit="1" customWidth="1"/>
  </cols>
  <sheetData>
    <row r="1" spans="1:3" x14ac:dyDescent="0.2">
      <c r="B1" s="1" t="s">
        <v>40</v>
      </c>
    </row>
    <row r="2" spans="1:3" x14ac:dyDescent="0.2">
      <c r="B2" s="1" t="s">
        <v>41</v>
      </c>
    </row>
    <row r="3" spans="1:3" x14ac:dyDescent="0.2">
      <c r="C3" s="29" t="s">
        <v>42</v>
      </c>
    </row>
    <row r="4" spans="1:3" s="7" customFormat="1" ht="12" thickBot="1" x14ac:dyDescent="0.25">
      <c r="A4" s="5"/>
      <c r="B4" s="6" t="s">
        <v>0</v>
      </c>
      <c r="C4" s="28">
        <f>D26</f>
        <v>27843600</v>
      </c>
    </row>
    <row r="5" spans="1:3" x14ac:dyDescent="0.2">
      <c r="B5" s="1" t="s">
        <v>1</v>
      </c>
      <c r="C5" s="10"/>
    </row>
    <row r="6" spans="1:3" x14ac:dyDescent="0.2">
      <c r="A6" s="4" t="s">
        <v>4</v>
      </c>
      <c r="B6" s="2" t="s">
        <v>2</v>
      </c>
    </row>
    <row r="7" spans="1:3" x14ac:dyDescent="0.2">
      <c r="B7" s="9" t="s">
        <v>43</v>
      </c>
      <c r="C7">
        <f>-C48</f>
        <v>-1000000</v>
      </c>
    </row>
    <row r="8" spans="1:3" x14ac:dyDescent="0.2">
      <c r="B8" s="12" t="s">
        <v>9</v>
      </c>
      <c r="C8" s="13">
        <f>SUM(C7:C7)</f>
        <v>-1000000</v>
      </c>
    </row>
    <row r="9" spans="1:3" x14ac:dyDescent="0.2">
      <c r="A9" s="4" t="s">
        <v>5</v>
      </c>
      <c r="B9" s="2" t="s">
        <v>3</v>
      </c>
    </row>
    <row r="10" spans="1:3" x14ac:dyDescent="0.2">
      <c r="B10" s="9" t="s">
        <v>10</v>
      </c>
      <c r="C10">
        <f>D43</f>
        <v>120000</v>
      </c>
    </row>
    <row r="11" spans="1:3" x14ac:dyDescent="0.2">
      <c r="B11" s="12" t="s">
        <v>9</v>
      </c>
      <c r="C11" s="13">
        <f>SUM(C10:C10)</f>
        <v>120000</v>
      </c>
    </row>
    <row r="12" spans="1:3" x14ac:dyDescent="0.2">
      <c r="A12" s="4" t="s">
        <v>7</v>
      </c>
      <c r="B12" s="1" t="s">
        <v>6</v>
      </c>
      <c r="C12" s="8">
        <f>C8+C11</f>
        <v>-880000</v>
      </c>
    </row>
    <row r="15" spans="1:3" ht="12" thickBot="1" x14ac:dyDescent="0.25">
      <c r="B15" s="1" t="s">
        <v>8</v>
      </c>
      <c r="C15" s="31">
        <f>C4+C12</f>
        <v>26963600</v>
      </c>
    </row>
    <row r="19" spans="1:4" x14ac:dyDescent="0.2">
      <c r="A19" s="15"/>
      <c r="B19" s="1" t="s">
        <v>11</v>
      </c>
    </row>
    <row r="21" spans="1:4" x14ac:dyDescent="0.2">
      <c r="B21" s="1" t="s">
        <v>12</v>
      </c>
      <c r="C21" s="25"/>
      <c r="D21" s="25">
        <v>32800000</v>
      </c>
    </row>
    <row r="22" spans="1:4" x14ac:dyDescent="0.2">
      <c r="B22" t="str">
        <f>B35</f>
        <v>P&amp;L - revenue</v>
      </c>
      <c r="C22" s="26">
        <f>C35</f>
        <v>7000</v>
      </c>
      <c r="D22" s="25"/>
    </row>
    <row r="23" spans="1:4" x14ac:dyDescent="0.2">
      <c r="B23" t="str">
        <f>B39</f>
        <v>P&amp;L - expense</v>
      </c>
      <c r="C23" s="26">
        <f>-C39</f>
        <v>-5000000</v>
      </c>
      <c r="D23" s="25"/>
    </row>
    <row r="24" spans="1:4" x14ac:dyDescent="0.2">
      <c r="B24" t="str">
        <f>B45</f>
        <v>P&amp;L - revenue</v>
      </c>
      <c r="C24" s="26">
        <f>C45</f>
        <v>30000</v>
      </c>
      <c r="D24" s="25"/>
    </row>
    <row r="25" spans="1:4" x14ac:dyDescent="0.2">
      <c r="B25" t="str">
        <f>B62</f>
        <v>P&amp;L impact - reversal of impairment</v>
      </c>
      <c r="C25" s="26">
        <f>C62</f>
        <v>6600</v>
      </c>
      <c r="D25" s="25"/>
    </row>
    <row r="26" spans="1:4" ht="12" thickBot="1" x14ac:dyDescent="0.25">
      <c r="B26" s="1" t="s">
        <v>13</v>
      </c>
      <c r="C26" s="25"/>
      <c r="D26" s="27">
        <f>D21+SUM(C22:C25)</f>
        <v>27843600</v>
      </c>
    </row>
    <row r="30" spans="1:4" x14ac:dyDescent="0.2">
      <c r="A30" s="15" t="s">
        <v>14</v>
      </c>
      <c r="B30" s="1" t="s">
        <v>15</v>
      </c>
    </row>
    <row r="31" spans="1:4" x14ac:dyDescent="0.2">
      <c r="B31" t="s">
        <v>16</v>
      </c>
    </row>
    <row r="33" spans="1:4" x14ac:dyDescent="0.2">
      <c r="B33" t="s">
        <v>17</v>
      </c>
      <c r="C33">
        <f>350000*0.96</f>
        <v>336000</v>
      </c>
    </row>
    <row r="34" spans="1:4" x14ac:dyDescent="0.2">
      <c r="B34" t="s">
        <v>18</v>
      </c>
      <c r="C34">
        <f>350000*0.98</f>
        <v>343000</v>
      </c>
    </row>
    <row r="35" spans="1:4" ht="12" thickBot="1" x14ac:dyDescent="0.25">
      <c r="B35" s="18" t="s">
        <v>19</v>
      </c>
      <c r="C35" s="20">
        <f>C34-C33</f>
        <v>7000</v>
      </c>
    </row>
    <row r="38" spans="1:4" x14ac:dyDescent="0.2">
      <c r="A38" s="15" t="s">
        <v>20</v>
      </c>
      <c r="B38" t="s">
        <v>21</v>
      </c>
      <c r="C38">
        <v>5000000</v>
      </c>
    </row>
    <row r="39" spans="1:4" ht="12" thickBot="1" x14ac:dyDescent="0.25">
      <c r="B39" s="18" t="s">
        <v>22</v>
      </c>
      <c r="C39" s="20">
        <f>C38-C37</f>
        <v>5000000</v>
      </c>
    </row>
    <row r="41" spans="1:4" x14ac:dyDescent="0.2">
      <c r="C41" t="s">
        <v>26</v>
      </c>
      <c r="D41" t="s">
        <v>27</v>
      </c>
    </row>
    <row r="42" spans="1:4" x14ac:dyDescent="0.2">
      <c r="A42" s="15" t="s">
        <v>23</v>
      </c>
      <c r="B42" t="s">
        <v>24</v>
      </c>
      <c r="C42">
        <v>150000</v>
      </c>
    </row>
    <row r="43" spans="1:4" x14ac:dyDescent="0.2">
      <c r="B43" t="s">
        <v>25</v>
      </c>
      <c r="D43" s="30">
        <v>120000</v>
      </c>
    </row>
    <row r="44" spans="1:4" x14ac:dyDescent="0.2">
      <c r="A44"/>
      <c r="B44" t="s">
        <v>28</v>
      </c>
      <c r="D44">
        <f>C42-D43</f>
        <v>30000</v>
      </c>
    </row>
    <row r="45" spans="1:4" ht="12" thickBot="1" x14ac:dyDescent="0.25">
      <c r="B45" s="18" t="s">
        <v>19</v>
      </c>
      <c r="C45" s="20">
        <f>D44</f>
        <v>30000</v>
      </c>
    </row>
    <row r="47" spans="1:4" x14ac:dyDescent="0.2">
      <c r="C47" t="s">
        <v>26</v>
      </c>
      <c r="D47" t="s">
        <v>27</v>
      </c>
    </row>
    <row r="48" spans="1:4" x14ac:dyDescent="0.2">
      <c r="A48" s="15" t="s">
        <v>32</v>
      </c>
      <c r="B48" t="s">
        <v>29</v>
      </c>
      <c r="C48">
        <v>1000000</v>
      </c>
    </row>
    <row r="49" spans="1:4" x14ac:dyDescent="0.2">
      <c r="B49" t="s">
        <v>30</v>
      </c>
      <c r="D49">
        <f>C48</f>
        <v>1000000</v>
      </c>
    </row>
    <row r="50" spans="1:4" ht="12" thickBot="1" x14ac:dyDescent="0.25">
      <c r="B50" s="18" t="s">
        <v>31</v>
      </c>
      <c r="C50" s="21">
        <f>C48</f>
        <v>1000000</v>
      </c>
    </row>
    <row r="53" spans="1:4" x14ac:dyDescent="0.2">
      <c r="A53" s="15" t="s">
        <v>39</v>
      </c>
      <c r="B53" s="1" t="s">
        <v>33</v>
      </c>
      <c r="C53">
        <f>80000-(10000)*2.5</f>
        <v>55000</v>
      </c>
    </row>
    <row r="54" spans="1:4" ht="5.25" customHeight="1" x14ac:dyDescent="0.2"/>
    <row r="55" spans="1:4" x14ac:dyDescent="0.2">
      <c r="B55" s="1" t="s">
        <v>34</v>
      </c>
      <c r="C55">
        <f>57000-1000</f>
        <v>56000</v>
      </c>
    </row>
    <row r="56" spans="1:4" x14ac:dyDescent="0.2">
      <c r="B56" s="1" t="s">
        <v>35</v>
      </c>
      <c r="C56">
        <v>58000</v>
      </c>
    </row>
    <row r="57" spans="1:4" x14ac:dyDescent="0.2">
      <c r="B57" s="1"/>
    </row>
    <row r="58" spans="1:4" x14ac:dyDescent="0.2">
      <c r="B58" s="23" t="s">
        <v>36</v>
      </c>
      <c r="C58">
        <v>7800</v>
      </c>
    </row>
    <row r="60" spans="1:4" x14ac:dyDescent="0.2">
      <c r="B60" s="11" t="s">
        <v>37</v>
      </c>
      <c r="C60">
        <v>48400</v>
      </c>
    </row>
    <row r="61" spans="1:4" x14ac:dyDescent="0.2">
      <c r="B61" s="1" t="s">
        <v>33</v>
      </c>
      <c r="C61">
        <f>80000-(10000)*2.5</f>
        <v>55000</v>
      </c>
    </row>
    <row r="62" spans="1:4" ht="12" thickBot="1" x14ac:dyDescent="0.25">
      <c r="B62" s="17" t="s">
        <v>38</v>
      </c>
      <c r="C62" s="14">
        <f>C61-C60</f>
        <v>6600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3DB2-3E89-46F6-B7C6-4FE0EDDA0B7A}">
  <dimension ref="B2:G19"/>
  <sheetViews>
    <sheetView zoomScale="205" zoomScaleNormal="205" workbookViewId="0">
      <selection activeCell="C15" sqref="C15"/>
    </sheetView>
  </sheetViews>
  <sheetFormatPr defaultRowHeight="11.25" x14ac:dyDescent="0.2"/>
  <cols>
    <col min="2" max="2" width="10.33203125" customWidth="1"/>
    <col min="3" max="3" width="12.6640625" bestFit="1" customWidth="1"/>
    <col min="4" max="4" width="14.33203125" customWidth="1"/>
    <col min="6" max="6" width="12.1640625" customWidth="1"/>
    <col min="7" max="7" width="10.1640625" bestFit="1" customWidth="1"/>
  </cols>
  <sheetData>
    <row r="2" spans="2:7" s="32" customFormat="1" ht="24.75" customHeight="1" x14ac:dyDescent="0.2">
      <c r="B2" s="33" t="s">
        <v>44</v>
      </c>
      <c r="C2" s="33" t="s">
        <v>45</v>
      </c>
      <c r="D2" s="33" t="s">
        <v>46</v>
      </c>
      <c r="E2" s="33" t="s">
        <v>47</v>
      </c>
      <c r="F2" s="33" t="s">
        <v>48</v>
      </c>
      <c r="G2" s="33" t="s">
        <v>49</v>
      </c>
    </row>
    <row r="3" spans="2:7" x14ac:dyDescent="0.2">
      <c r="B3" s="22">
        <v>42736</v>
      </c>
      <c r="C3" s="24">
        <f>7200000+50000</f>
        <v>7250000</v>
      </c>
      <c r="D3">
        <v>0</v>
      </c>
      <c r="E3">
        <v>0</v>
      </c>
      <c r="F3">
        <v>0</v>
      </c>
      <c r="G3" s="34">
        <f>C3</f>
        <v>7250000</v>
      </c>
    </row>
    <row r="4" spans="2:7" x14ac:dyDescent="0.2">
      <c r="B4" s="22">
        <v>42916</v>
      </c>
      <c r="C4" s="34">
        <f>G3</f>
        <v>7250000</v>
      </c>
      <c r="D4">
        <v>0</v>
      </c>
      <c r="E4">
        <f>-7500000*0.055/2</f>
        <v>-206250</v>
      </c>
      <c r="F4" s="24">
        <f>C4*0.06976/2</f>
        <v>252880</v>
      </c>
      <c r="G4" s="34">
        <f>SUM(C4:F4)</f>
        <v>7296630</v>
      </c>
    </row>
    <row r="5" spans="2:7" x14ac:dyDescent="0.2">
      <c r="B5" s="22">
        <v>42916</v>
      </c>
      <c r="G5">
        <v>7400000</v>
      </c>
    </row>
    <row r="7" spans="2:7" x14ac:dyDescent="0.2">
      <c r="F7" t="s">
        <v>50</v>
      </c>
      <c r="G7" s="34">
        <f>G5-G4</f>
        <v>103370</v>
      </c>
    </row>
    <row r="10" spans="2:7" x14ac:dyDescent="0.2">
      <c r="D10" s="33" t="s">
        <v>51</v>
      </c>
      <c r="E10" s="35" t="s">
        <v>64</v>
      </c>
      <c r="F10" s="35"/>
    </row>
    <row r="11" spans="2:7" ht="22.5" x14ac:dyDescent="0.2">
      <c r="C11" t="s">
        <v>58</v>
      </c>
      <c r="D11" s="33" t="s">
        <v>52</v>
      </c>
      <c r="E11" s="33" t="s">
        <v>55</v>
      </c>
      <c r="F11" s="33" t="s">
        <v>56</v>
      </c>
    </row>
    <row r="12" spans="2:7" x14ac:dyDescent="0.2">
      <c r="B12" t="s">
        <v>62</v>
      </c>
      <c r="C12" t="s">
        <v>59</v>
      </c>
      <c r="D12" t="s">
        <v>53</v>
      </c>
      <c r="E12">
        <f>G5</f>
        <v>7400000</v>
      </c>
    </row>
    <row r="13" spans="2:7" x14ac:dyDescent="0.2">
      <c r="B13" t="s">
        <v>63</v>
      </c>
      <c r="C13" t="s">
        <v>60</v>
      </c>
      <c r="D13" t="s">
        <v>54</v>
      </c>
      <c r="E13" s="34"/>
      <c r="F13" s="34">
        <f>F4</f>
        <v>252880</v>
      </c>
    </row>
    <row r="14" spans="2:7" x14ac:dyDescent="0.2">
      <c r="B14" t="s">
        <v>63</v>
      </c>
      <c r="C14" t="s">
        <v>61</v>
      </c>
      <c r="D14" t="s">
        <v>57</v>
      </c>
      <c r="F14" s="34">
        <f>G7</f>
        <v>103370</v>
      </c>
    </row>
    <row r="17" spans="3:6" x14ac:dyDescent="0.2">
      <c r="C17" t="s">
        <v>44</v>
      </c>
      <c r="D17" t="s">
        <v>65</v>
      </c>
      <c r="E17" t="s">
        <v>26</v>
      </c>
      <c r="F17" t="s">
        <v>66</v>
      </c>
    </row>
    <row r="18" spans="3:6" x14ac:dyDescent="0.2">
      <c r="C18" t="s">
        <v>67</v>
      </c>
      <c r="D18" t="s">
        <v>68</v>
      </c>
      <c r="E18">
        <v>75000</v>
      </c>
    </row>
    <row r="19" spans="3:6" x14ac:dyDescent="0.2">
      <c r="D19" t="s">
        <v>69</v>
      </c>
      <c r="F19">
        <v>75000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31BD-7A2D-44FA-BCFC-599AB4018CF5}">
  <dimension ref="A2:G11"/>
  <sheetViews>
    <sheetView zoomScale="145" zoomScaleNormal="145" workbookViewId="0"/>
  </sheetViews>
  <sheetFormatPr defaultRowHeight="11.25" x14ac:dyDescent="0.2"/>
  <cols>
    <col min="2" max="2" width="22.83203125" customWidth="1"/>
    <col min="3" max="3" width="11.1640625" bestFit="1" customWidth="1"/>
    <col min="5" max="5" width="15.83203125" customWidth="1"/>
    <col min="6" max="6" width="18.33203125" customWidth="1"/>
    <col min="7" max="7" width="11.83203125" customWidth="1"/>
  </cols>
  <sheetData>
    <row r="2" spans="1:7" x14ac:dyDescent="0.2">
      <c r="A2" t="s">
        <v>77</v>
      </c>
    </row>
    <row r="3" spans="1:7" x14ac:dyDescent="0.2">
      <c r="A3" s="1" t="s">
        <v>75</v>
      </c>
    </row>
    <row r="4" spans="1:7" x14ac:dyDescent="0.2">
      <c r="B4" s="1" t="s">
        <v>70</v>
      </c>
      <c r="C4" s="1" t="s">
        <v>71</v>
      </c>
      <c r="D4" s="1" t="s">
        <v>72</v>
      </c>
      <c r="E4" s="1" t="s">
        <v>73</v>
      </c>
      <c r="F4" s="1" t="s">
        <v>74</v>
      </c>
      <c r="G4" s="1" t="s">
        <v>81</v>
      </c>
    </row>
    <row r="5" spans="1:7" x14ac:dyDescent="0.2">
      <c r="B5" s="16" t="s">
        <v>78</v>
      </c>
      <c r="C5" s="36">
        <v>1600000</v>
      </c>
      <c r="D5" s="37">
        <f>C5/$C$7</f>
        <v>0.62608709262762885</v>
      </c>
      <c r="E5" s="24">
        <f>D5*$E$7</f>
        <v>1377391.6037807835</v>
      </c>
      <c r="F5" s="16" t="s">
        <v>80</v>
      </c>
      <c r="G5" s="42">
        <f>E5/12*3</f>
        <v>344347.90094519587</v>
      </c>
    </row>
    <row r="6" spans="1:7" x14ac:dyDescent="0.2">
      <c r="B6" s="16" t="s">
        <v>79</v>
      </c>
      <c r="C6" s="36">
        <v>955555</v>
      </c>
      <c r="D6" s="37">
        <f>C6/$C$7</f>
        <v>0.37391290737237115</v>
      </c>
      <c r="E6" s="24">
        <f>D6*$E$7</f>
        <v>822608.39621921652</v>
      </c>
      <c r="F6" s="16" t="s">
        <v>82</v>
      </c>
      <c r="G6" s="42">
        <v>0</v>
      </c>
    </row>
    <row r="7" spans="1:7" ht="12" thickBot="1" x14ac:dyDescent="0.25">
      <c r="B7" s="19" t="s">
        <v>9</v>
      </c>
      <c r="C7" s="40">
        <f>SUM(C5:C6)</f>
        <v>2555555</v>
      </c>
      <c r="D7" s="38">
        <f>C7/$C$7</f>
        <v>1</v>
      </c>
      <c r="E7" s="41">
        <v>2200000</v>
      </c>
      <c r="F7" s="39"/>
      <c r="G7" s="41">
        <f>SUM(G5:G6)</f>
        <v>344347.90094519587</v>
      </c>
    </row>
    <row r="11" spans="1:7" x14ac:dyDescent="0.2">
      <c r="A11" s="1" t="s">
        <v>76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00E3-A02A-48ED-B883-25A2AED7F718}">
  <dimension ref="A3:M72"/>
  <sheetViews>
    <sheetView tabSelected="1" topLeftCell="A55" zoomScale="130" zoomScaleNormal="130" workbookViewId="0">
      <selection activeCell="C72" sqref="C72"/>
    </sheetView>
  </sheetViews>
  <sheetFormatPr defaultRowHeight="11.25" x14ac:dyDescent="0.2"/>
  <cols>
    <col min="2" max="2" width="9.1640625" customWidth="1"/>
    <col min="3" max="3" width="28.6640625" customWidth="1"/>
    <col min="4" max="4" width="5.33203125" customWidth="1"/>
    <col min="5" max="5" width="12" customWidth="1"/>
    <col min="6" max="6" width="13.6640625" customWidth="1"/>
    <col min="8" max="8" width="13.83203125" customWidth="1"/>
    <col min="9" max="9" width="14" style="1" customWidth="1"/>
    <col min="10" max="10" width="14.6640625" customWidth="1"/>
    <col min="11" max="11" width="16.83203125" customWidth="1"/>
    <col min="12" max="12" width="16" customWidth="1"/>
    <col min="13" max="13" width="14.5" customWidth="1"/>
  </cols>
  <sheetData>
    <row r="3" spans="1:13" x14ac:dyDescent="0.2">
      <c r="B3" s="52" t="s">
        <v>83</v>
      </c>
      <c r="C3" s="52" t="s">
        <v>44</v>
      </c>
      <c r="D3" s="52" t="s">
        <v>84</v>
      </c>
      <c r="E3" s="53" t="s">
        <v>84</v>
      </c>
      <c r="F3" s="53" t="s">
        <v>85</v>
      </c>
      <c r="H3" s="1"/>
      <c r="J3" s="1"/>
      <c r="K3" s="1"/>
      <c r="L3" s="1"/>
      <c r="M3" s="1"/>
    </row>
    <row r="4" spans="1:13" x14ac:dyDescent="0.2">
      <c r="B4">
        <v>0</v>
      </c>
      <c r="C4" s="22">
        <v>42552</v>
      </c>
      <c r="D4" s="24">
        <v>100000</v>
      </c>
      <c r="E4">
        <v>1</v>
      </c>
      <c r="F4" s="34">
        <f>D4*E4</f>
        <v>100000</v>
      </c>
      <c r="I4" s="48"/>
      <c r="J4" s="34"/>
      <c r="K4" s="42"/>
      <c r="L4" s="42"/>
    </row>
    <row r="5" spans="1:13" x14ac:dyDescent="0.2">
      <c r="B5">
        <f>B4+1</f>
        <v>1</v>
      </c>
      <c r="C5" s="22">
        <f>C4+365</f>
        <v>42917</v>
      </c>
      <c r="D5" s="24">
        <v>100000</v>
      </c>
      <c r="E5">
        <v>0.92593000000000003</v>
      </c>
      <c r="F5" s="34">
        <f t="shared" ref="F5:F8" si="0">D5*E5</f>
        <v>92593</v>
      </c>
      <c r="I5" s="48"/>
      <c r="J5" s="34"/>
      <c r="K5" s="42"/>
      <c r="L5" s="42"/>
    </row>
    <row r="6" spans="1:13" x14ac:dyDescent="0.2">
      <c r="B6">
        <f t="shared" ref="B6:B8" si="1">B5+1</f>
        <v>2</v>
      </c>
      <c r="C6" s="22">
        <f t="shared" ref="C6:C8" si="2">C5+365</f>
        <v>43282</v>
      </c>
      <c r="D6" s="24">
        <v>100000</v>
      </c>
      <c r="E6">
        <v>0.85733999999999999</v>
      </c>
      <c r="F6" s="34">
        <f t="shared" si="0"/>
        <v>85734</v>
      </c>
    </row>
    <row r="7" spans="1:13" x14ac:dyDescent="0.2">
      <c r="B7">
        <f t="shared" si="1"/>
        <v>3</v>
      </c>
      <c r="C7" s="22">
        <f t="shared" si="2"/>
        <v>43647</v>
      </c>
      <c r="D7" s="24">
        <v>100000</v>
      </c>
      <c r="E7">
        <v>0.79383000000000004</v>
      </c>
      <c r="F7" s="34">
        <f t="shared" si="0"/>
        <v>79383</v>
      </c>
    </row>
    <row r="8" spans="1:13" x14ac:dyDescent="0.2">
      <c r="B8">
        <f t="shared" si="1"/>
        <v>4</v>
      </c>
      <c r="C8" s="22">
        <f t="shared" si="2"/>
        <v>44012</v>
      </c>
      <c r="D8" s="24">
        <v>100000</v>
      </c>
      <c r="E8">
        <v>0.73502999999999996</v>
      </c>
      <c r="F8" s="34">
        <f t="shared" si="0"/>
        <v>73503</v>
      </c>
    </row>
    <row r="9" spans="1:13" ht="12" thickBot="1" x14ac:dyDescent="0.25">
      <c r="B9" s="1" t="s">
        <v>86</v>
      </c>
      <c r="C9" s="22"/>
      <c r="F9" s="51">
        <f>SUM(F4:F8)</f>
        <v>431213</v>
      </c>
    </row>
    <row r="11" spans="1:13" x14ac:dyDescent="0.2">
      <c r="A11" s="43">
        <v>1</v>
      </c>
      <c r="B11" s="44" t="s">
        <v>44</v>
      </c>
      <c r="C11" s="44" t="s">
        <v>87</v>
      </c>
      <c r="D11" s="44" t="s">
        <v>26</v>
      </c>
      <c r="E11" s="44" t="s">
        <v>66</v>
      </c>
    </row>
    <row r="12" spans="1:13" x14ac:dyDescent="0.2">
      <c r="B12" s="45" t="s">
        <v>91</v>
      </c>
      <c r="C12" s="46" t="s">
        <v>89</v>
      </c>
      <c r="D12" s="47">
        <f>F9</f>
        <v>431213</v>
      </c>
      <c r="E12" s="46"/>
    </row>
    <row r="13" spans="1:13" x14ac:dyDescent="0.2">
      <c r="B13" s="46"/>
      <c r="C13" s="46" t="s">
        <v>90</v>
      </c>
      <c r="D13" s="46"/>
      <c r="E13" s="47">
        <f>F9</f>
        <v>431213</v>
      </c>
    </row>
    <row r="14" spans="1:13" x14ac:dyDescent="0.2">
      <c r="B14" t="s">
        <v>88</v>
      </c>
    </row>
    <row r="16" spans="1:13" x14ac:dyDescent="0.2">
      <c r="A16" s="43">
        <v>2</v>
      </c>
      <c r="B16" s="44" t="s">
        <v>44</v>
      </c>
      <c r="C16" s="44" t="s">
        <v>87</v>
      </c>
      <c r="D16" s="44" t="s">
        <v>26</v>
      </c>
      <c r="E16" s="44" t="s">
        <v>66</v>
      </c>
    </row>
    <row r="17" spans="1:5" x14ac:dyDescent="0.2">
      <c r="B17" s="45" t="s">
        <v>91</v>
      </c>
      <c r="C17" s="46" t="s">
        <v>90</v>
      </c>
      <c r="D17" s="47">
        <f>E18</f>
        <v>100000</v>
      </c>
      <c r="E17" s="46"/>
    </row>
    <row r="18" spans="1:5" x14ac:dyDescent="0.2">
      <c r="B18" s="46"/>
      <c r="C18" s="46" t="s">
        <v>92</v>
      </c>
      <c r="D18" s="46"/>
      <c r="E18" s="47">
        <f>F4</f>
        <v>100000</v>
      </c>
    </row>
    <row r="19" spans="1:5" x14ac:dyDescent="0.2">
      <c r="B19" t="s">
        <v>93</v>
      </c>
    </row>
    <row r="21" spans="1:5" x14ac:dyDescent="0.2">
      <c r="A21" s="43">
        <v>3</v>
      </c>
      <c r="B21" s="44" t="s">
        <v>44</v>
      </c>
      <c r="C21" s="44" t="s">
        <v>87</v>
      </c>
      <c r="D21" s="44" t="s">
        <v>26</v>
      </c>
      <c r="E21" s="44" t="s">
        <v>66</v>
      </c>
    </row>
    <row r="22" spans="1:5" x14ac:dyDescent="0.2">
      <c r="B22" s="45" t="s">
        <v>91</v>
      </c>
      <c r="C22" s="46" t="s">
        <v>94</v>
      </c>
      <c r="D22" s="47">
        <v>5000</v>
      </c>
      <c r="E22" s="46"/>
    </row>
    <row r="23" spans="1:5" x14ac:dyDescent="0.2">
      <c r="B23" s="46"/>
      <c r="C23" s="46" t="s">
        <v>92</v>
      </c>
      <c r="D23" s="46"/>
      <c r="E23" s="47">
        <v>5000</v>
      </c>
    </row>
    <row r="24" spans="1:5" x14ac:dyDescent="0.2">
      <c r="B24" t="s">
        <v>95</v>
      </c>
    </row>
    <row r="25" spans="1:5" x14ac:dyDescent="0.2">
      <c r="B25" s="44" t="s">
        <v>44</v>
      </c>
      <c r="C25" s="44" t="s">
        <v>87</v>
      </c>
      <c r="D25" s="44" t="s">
        <v>26</v>
      </c>
      <c r="E25" s="44" t="s">
        <v>66</v>
      </c>
    </row>
    <row r="26" spans="1:5" x14ac:dyDescent="0.2">
      <c r="A26" s="43">
        <v>4</v>
      </c>
      <c r="B26" s="45" t="s">
        <v>99</v>
      </c>
      <c r="C26" t="s">
        <v>96</v>
      </c>
      <c r="D26" s="34">
        <f>(F9-D17)*0.08</f>
        <v>26497.040000000001</v>
      </c>
    </row>
    <row r="27" spans="1:5" x14ac:dyDescent="0.2">
      <c r="C27" t="s">
        <v>97</v>
      </c>
      <c r="E27" s="34">
        <f>D26</f>
        <v>26497.040000000001</v>
      </c>
    </row>
    <row r="28" spans="1:5" x14ac:dyDescent="0.2">
      <c r="B28" t="s">
        <v>98</v>
      </c>
    </row>
    <row r="30" spans="1:5" x14ac:dyDescent="0.2">
      <c r="B30" s="44" t="s">
        <v>44</v>
      </c>
      <c r="C30" s="44" t="s">
        <v>87</v>
      </c>
      <c r="D30" s="44" t="s">
        <v>26</v>
      </c>
      <c r="E30" s="44" t="s">
        <v>66</v>
      </c>
    </row>
    <row r="31" spans="1:5" x14ac:dyDescent="0.2">
      <c r="A31" s="43">
        <v>5</v>
      </c>
      <c r="B31" s="45" t="s">
        <v>99</v>
      </c>
      <c r="C31" t="s">
        <v>100</v>
      </c>
      <c r="D31" s="34">
        <f>F9/5</f>
        <v>86242.6</v>
      </c>
    </row>
    <row r="32" spans="1:5" x14ac:dyDescent="0.2">
      <c r="C32" t="s">
        <v>101</v>
      </c>
      <c r="E32" s="34">
        <f>D31</f>
        <v>86242.6</v>
      </c>
    </row>
    <row r="33" spans="2:9" x14ac:dyDescent="0.2">
      <c r="B33" t="s">
        <v>98</v>
      </c>
    </row>
    <row r="35" spans="2:9" s="49" customFormat="1" x14ac:dyDescent="0.2">
      <c r="I35" s="50"/>
    </row>
    <row r="38" spans="2:9" x14ac:dyDescent="0.2">
      <c r="B38" s="44" t="s">
        <v>44</v>
      </c>
      <c r="C38" s="44" t="s">
        <v>87</v>
      </c>
      <c r="D38" s="44" t="s">
        <v>26</v>
      </c>
      <c r="E38" s="44" t="s">
        <v>66</v>
      </c>
    </row>
    <row r="39" spans="2:9" x14ac:dyDescent="0.2">
      <c r="B39" s="45" t="s">
        <v>67</v>
      </c>
      <c r="C39" t="s">
        <v>102</v>
      </c>
      <c r="D39">
        <f>6000000*0.55</f>
        <v>3300000.0000000005</v>
      </c>
    </row>
    <row r="40" spans="2:9" x14ac:dyDescent="0.2">
      <c r="C40" t="s">
        <v>103</v>
      </c>
      <c r="E40">
        <f>2000000*0.55</f>
        <v>1100000</v>
      </c>
    </row>
    <row r="41" spans="2:9" x14ac:dyDescent="0.2">
      <c r="C41" t="s">
        <v>104</v>
      </c>
      <c r="E41">
        <v>300000</v>
      </c>
    </row>
    <row r="42" spans="2:9" x14ac:dyDescent="0.2">
      <c r="C42" t="s">
        <v>105</v>
      </c>
      <c r="E42" s="54">
        <f>D39-SUM(E40:E41)</f>
        <v>1900000.0000000005</v>
      </c>
    </row>
    <row r="45" spans="2:9" x14ac:dyDescent="0.2">
      <c r="B45" s="44" t="s">
        <v>44</v>
      </c>
      <c r="C45" s="44" t="s">
        <v>87</v>
      </c>
      <c r="D45" s="44" t="s">
        <v>26</v>
      </c>
      <c r="E45" s="44" t="s">
        <v>66</v>
      </c>
    </row>
    <row r="46" spans="2:9" x14ac:dyDescent="0.2">
      <c r="B46" s="45" t="s">
        <v>67</v>
      </c>
      <c r="C46" t="s">
        <v>106</v>
      </c>
      <c r="D46">
        <v>110000</v>
      </c>
    </row>
    <row r="47" spans="2:9" x14ac:dyDescent="0.2">
      <c r="C47" t="s">
        <v>107</v>
      </c>
      <c r="E47">
        <v>110000</v>
      </c>
    </row>
    <row r="48" spans="2:9" x14ac:dyDescent="0.2">
      <c r="C48" s="9" t="s">
        <v>110</v>
      </c>
    </row>
    <row r="50" spans="2:5" x14ac:dyDescent="0.2">
      <c r="B50" s="44" t="s">
        <v>44</v>
      </c>
      <c r="C50" s="44" t="s">
        <v>87</v>
      </c>
      <c r="D50" s="44" t="s">
        <v>26</v>
      </c>
      <c r="E50" s="44" t="s">
        <v>66</v>
      </c>
    </row>
    <row r="51" spans="2:5" x14ac:dyDescent="0.2">
      <c r="B51" s="45" t="s">
        <v>67</v>
      </c>
      <c r="C51" t="s">
        <v>108</v>
      </c>
      <c r="D51">
        <v>30000</v>
      </c>
    </row>
    <row r="52" spans="2:5" x14ac:dyDescent="0.2">
      <c r="C52" t="s">
        <v>109</v>
      </c>
      <c r="E52">
        <v>30000</v>
      </c>
    </row>
    <row r="53" spans="2:5" x14ac:dyDescent="0.2">
      <c r="C53" s="11" t="s">
        <v>112</v>
      </c>
      <c r="D53">
        <f>D51*0.3</f>
        <v>9000</v>
      </c>
    </row>
    <row r="54" spans="2:5" x14ac:dyDescent="0.2">
      <c r="C54" s="11" t="s">
        <v>113</v>
      </c>
      <c r="E54">
        <f>D53</f>
        <v>9000</v>
      </c>
    </row>
    <row r="55" spans="2:5" x14ac:dyDescent="0.2">
      <c r="C55" s="9" t="s">
        <v>111</v>
      </c>
    </row>
    <row r="58" spans="2:5" x14ac:dyDescent="0.2">
      <c r="B58" s="44" t="s">
        <v>44</v>
      </c>
      <c r="C58" s="44" t="s">
        <v>87</v>
      </c>
      <c r="D58" s="44" t="s">
        <v>26</v>
      </c>
      <c r="E58" s="44" t="s">
        <v>66</v>
      </c>
    </row>
    <row r="59" spans="2:5" x14ac:dyDescent="0.2">
      <c r="B59" s="45" t="s">
        <v>67</v>
      </c>
      <c r="C59" t="s">
        <v>114</v>
      </c>
      <c r="D59">
        <v>400000</v>
      </c>
    </row>
    <row r="60" spans="2:5" x14ac:dyDescent="0.2">
      <c r="C60" t="s">
        <v>115</v>
      </c>
      <c r="E60">
        <v>400000</v>
      </c>
    </row>
    <row r="62" spans="2:5" x14ac:dyDescent="0.2">
      <c r="B62" s="44" t="s">
        <v>44</v>
      </c>
      <c r="C62" s="44" t="s">
        <v>87</v>
      </c>
      <c r="D62" s="44" t="s">
        <v>26</v>
      </c>
      <c r="E62" s="44" t="s">
        <v>66</v>
      </c>
    </row>
    <row r="63" spans="2:5" x14ac:dyDescent="0.2">
      <c r="B63" s="45" t="s">
        <v>67</v>
      </c>
      <c r="C63" t="s">
        <v>116</v>
      </c>
      <c r="D63">
        <v>400000</v>
      </c>
    </row>
    <row r="64" spans="2:5" x14ac:dyDescent="0.2">
      <c r="C64" t="s">
        <v>117</v>
      </c>
      <c r="E64">
        <v>400000</v>
      </c>
    </row>
    <row r="68" spans="3:5" x14ac:dyDescent="0.2">
      <c r="D68" s="1" t="s">
        <v>121</v>
      </c>
      <c r="E68" s="1"/>
    </row>
    <row r="69" spans="3:5" x14ac:dyDescent="0.2">
      <c r="C69" t="s">
        <v>118</v>
      </c>
    </row>
    <row r="70" spans="3:5" x14ac:dyDescent="0.2">
      <c r="C70" t="s">
        <v>119</v>
      </c>
      <c r="D70" t="s">
        <v>122</v>
      </c>
      <c r="E70" t="s">
        <v>123</v>
      </c>
    </row>
    <row r="71" spans="3:5" x14ac:dyDescent="0.2">
      <c r="C71" t="s">
        <v>114</v>
      </c>
    </row>
    <row r="72" spans="3:5" x14ac:dyDescent="0.2">
      <c r="C72" t="s">
        <v>120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Q2a</vt:lpstr>
      <vt:lpstr>Q2b</vt:lpstr>
      <vt:lpstr>Q3</vt:lpstr>
      <vt:lpstr>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Connell</dc:creator>
  <cp:lastModifiedBy>Max Connell</cp:lastModifiedBy>
  <dcterms:created xsi:type="dcterms:W3CDTF">2020-08-28T06:32:47Z</dcterms:created>
  <dcterms:modified xsi:type="dcterms:W3CDTF">2020-08-28T12:44:45Z</dcterms:modified>
</cp:coreProperties>
</file>